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tables/table104.xml" ContentType="application/vnd.openxmlformats-officedocument.spreadsheetml.table+xml"/>
  <Override PartName="/xl/tables/table105.xml" ContentType="application/vnd.openxmlformats-officedocument.spreadsheetml.table+xml"/>
  <Override PartName="/xl/tables/table106.xml" ContentType="application/vnd.openxmlformats-officedocument.spreadsheetml.table+xml"/>
  <Override PartName="/xl/tables/table107.xml" ContentType="application/vnd.openxmlformats-officedocument.spreadsheetml.table+xml"/>
  <Override PartName="/xl/tables/table108.xml" ContentType="application/vnd.openxmlformats-officedocument.spreadsheetml.table+xml"/>
  <Override PartName="/xl/tables/table109.xml" ContentType="application/vnd.openxmlformats-officedocument.spreadsheetml.table+xml"/>
  <Override PartName="/xl/tables/table110.xml" ContentType="application/vnd.openxmlformats-officedocument.spreadsheetml.table+xml"/>
  <Override PartName="/xl/tables/table111.xml" ContentType="application/vnd.openxmlformats-officedocument.spreadsheetml.table+xml"/>
  <Override PartName="/xl/tables/table112.xml" ContentType="application/vnd.openxmlformats-officedocument.spreadsheetml.table+xml"/>
  <Override PartName="/xl/tables/table113.xml" ContentType="application/vnd.openxmlformats-officedocument.spreadsheetml.table+xml"/>
  <Override PartName="/xl/tables/table114.xml" ContentType="application/vnd.openxmlformats-officedocument.spreadsheetml.table+xml"/>
  <Override PartName="/xl/tables/table115.xml" ContentType="application/vnd.openxmlformats-officedocument.spreadsheetml.table+xml"/>
  <Override PartName="/xl/tables/table116.xml" ContentType="application/vnd.openxmlformats-officedocument.spreadsheetml.table+xml"/>
  <Override PartName="/xl/tables/table117.xml" ContentType="application/vnd.openxmlformats-officedocument.spreadsheetml.table+xml"/>
  <Override PartName="/xl/tables/table118.xml" ContentType="application/vnd.openxmlformats-officedocument.spreadsheetml.table+xml"/>
  <Override PartName="/xl/tables/table119.xml" ContentType="application/vnd.openxmlformats-officedocument.spreadsheetml.table+xml"/>
  <Override PartName="/xl/tables/table120.xml" ContentType="application/vnd.openxmlformats-officedocument.spreadsheetml.table+xml"/>
  <Override PartName="/xl/tables/table121.xml" ContentType="application/vnd.openxmlformats-officedocument.spreadsheetml.table+xml"/>
  <Override PartName="/xl/tables/table122.xml" ContentType="application/vnd.openxmlformats-officedocument.spreadsheetml.table+xml"/>
  <Override PartName="/xl/tables/table123.xml" ContentType="application/vnd.openxmlformats-officedocument.spreadsheetml.table+xml"/>
  <Override PartName="/xl/tables/table124.xml" ContentType="application/vnd.openxmlformats-officedocument.spreadsheetml.table+xml"/>
  <Override PartName="/xl/tables/table125.xml" ContentType="application/vnd.openxmlformats-officedocument.spreadsheetml.table+xml"/>
  <Override PartName="/xl/tables/table126.xml" ContentType="application/vnd.openxmlformats-officedocument.spreadsheetml.table+xml"/>
  <Override PartName="/xl/tables/table12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AppData\Local\Temp\Rar$DIa19032.7027.rartemp\"/>
    </mc:Choice>
  </mc:AlternateContent>
  <xr:revisionPtr revIDLastSave="0" documentId="13_ncr:1_{8B36F068-5A7F-4E5A-A1AF-307D33DA2E8C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Orçamento" sheetId="1" r:id="rId1"/>
    <sheet name="13.3" sheetId="2" r:id="rId2"/>
    <sheet name="13.3.1" sheetId="3" r:id="rId3"/>
    <sheet name="13.3.2" sheetId="4" r:id="rId4"/>
    <sheet name="13.3.3" sheetId="5" r:id="rId5"/>
    <sheet name="13.3.4" sheetId="6" r:id="rId6"/>
    <sheet name="13.3.5" sheetId="7" r:id="rId7"/>
    <sheet name="13.3.6" sheetId="8" r:id="rId8"/>
    <sheet name="13.3.7" sheetId="9" r:id="rId9"/>
    <sheet name="13.3.8" sheetId="10" r:id="rId10"/>
    <sheet name="13.3.9" sheetId="11" r:id="rId11"/>
    <sheet name="13.3.10" sheetId="12" r:id="rId12"/>
    <sheet name="13.3.11" sheetId="13" r:id="rId13"/>
    <sheet name="13.3.12" sheetId="14" r:id="rId14"/>
    <sheet name="13.3.13" sheetId="15" r:id="rId15"/>
    <sheet name="13.3.14" sheetId="16" r:id="rId16"/>
    <sheet name="13.3.15" sheetId="17" r:id="rId17"/>
    <sheet name="13.3.16" sheetId="18" r:id="rId18"/>
    <sheet name="13.3.17" sheetId="19" r:id="rId19"/>
    <sheet name="13.3.18" sheetId="20" r:id="rId20"/>
    <sheet name="13.3.19" sheetId="21" r:id="rId21"/>
    <sheet name="13.3.20" sheetId="22" r:id="rId22"/>
    <sheet name="13.3.21" sheetId="23" r:id="rId23"/>
    <sheet name="13.3.22" sheetId="24" r:id="rId24"/>
    <sheet name="13.3.23" sheetId="25" r:id="rId25"/>
    <sheet name="13.3.24" sheetId="26" r:id="rId26"/>
    <sheet name="13.3.25" sheetId="27" r:id="rId27"/>
    <sheet name="13.3.26" sheetId="28" r:id="rId28"/>
    <sheet name="13.3.27" sheetId="29" r:id="rId29"/>
    <sheet name="13.3.28" sheetId="30" r:id="rId30"/>
    <sheet name="13.3.29" sheetId="31" r:id="rId31"/>
    <sheet name="13.3.30" sheetId="32" r:id="rId32"/>
    <sheet name="13.3.31" sheetId="33" r:id="rId33"/>
    <sheet name="13.3.32" sheetId="34" r:id="rId34"/>
    <sheet name="13.3.33" sheetId="35" r:id="rId35"/>
    <sheet name="13.3.34" sheetId="36" r:id="rId36"/>
    <sheet name="13.3.35" sheetId="37" r:id="rId37"/>
    <sheet name="13.3.36" sheetId="38" r:id="rId38"/>
    <sheet name="13.3.37" sheetId="39" r:id="rId39"/>
    <sheet name="13.3.38" sheetId="40" r:id="rId40"/>
    <sheet name="13.3.39" sheetId="41" r:id="rId41"/>
    <sheet name="13.3.40" sheetId="42" r:id="rId42"/>
    <sheet name="13.3.41" sheetId="43" r:id="rId43"/>
    <sheet name="13.3.42" sheetId="44" r:id="rId44"/>
    <sheet name="13.3.43" sheetId="45" r:id="rId45"/>
    <sheet name="13.3.44" sheetId="46" r:id="rId46"/>
    <sheet name="13.3.45" sheetId="47" r:id="rId47"/>
    <sheet name="13.3.46" sheetId="48" r:id="rId48"/>
    <sheet name="13.3.47" sheetId="49" r:id="rId49"/>
    <sheet name="13.3.48" sheetId="50" r:id="rId50"/>
    <sheet name="13.3.49" sheetId="51" r:id="rId51"/>
    <sheet name="13.3.50" sheetId="52" r:id="rId52"/>
    <sheet name="13.3.51" sheetId="53" r:id="rId53"/>
    <sheet name="13.3.52" sheetId="54" r:id="rId54"/>
    <sheet name="13.3.53" sheetId="55" r:id="rId55"/>
    <sheet name="13.3.54" sheetId="56" r:id="rId56"/>
    <sheet name="13.3.55" sheetId="57" r:id="rId57"/>
    <sheet name="13.3.56" sheetId="58" r:id="rId58"/>
    <sheet name="13.3.57" sheetId="59" r:id="rId59"/>
    <sheet name="13.3.58" sheetId="60" r:id="rId60"/>
    <sheet name="13.3.59" sheetId="61" r:id="rId61"/>
    <sheet name="13.3.60" sheetId="62" r:id="rId62"/>
    <sheet name="13.3.61" sheetId="63" r:id="rId63"/>
    <sheet name="13.3.62" sheetId="64" r:id="rId64"/>
    <sheet name="13.3.63" sheetId="65" r:id="rId65"/>
    <sheet name="13.3.1E" sheetId="66" r:id="rId66"/>
    <sheet name="13.3.2E" sheetId="67" r:id="rId67"/>
    <sheet name="13.3.3E" sheetId="68" r:id="rId68"/>
    <sheet name="13.3.4E" sheetId="69" r:id="rId69"/>
    <sheet name="13.3.5E" sheetId="70" r:id="rId70"/>
    <sheet name="13.3.6E" sheetId="71" r:id="rId71"/>
    <sheet name="13.3.7E" sheetId="72" r:id="rId72"/>
    <sheet name="13.3.8E" sheetId="73" r:id="rId73"/>
    <sheet name="13.3.9E" sheetId="74" r:id="rId74"/>
    <sheet name="13.3.10E" sheetId="75" r:id="rId75"/>
    <sheet name="13.3.11E" sheetId="76" r:id="rId76"/>
    <sheet name="13.3.12E" sheetId="77" r:id="rId77"/>
    <sheet name="13.3.13E" sheetId="78" r:id="rId78"/>
    <sheet name="13.3.14E" sheetId="79" r:id="rId79"/>
    <sheet name="13.3.15E" sheetId="80" r:id="rId80"/>
    <sheet name="13.3.16E" sheetId="81" r:id="rId81"/>
    <sheet name="13.3.17E" sheetId="82" r:id="rId82"/>
    <sheet name="13.3.18E" sheetId="83" r:id="rId83"/>
    <sheet name="13.3.19E" sheetId="84" r:id="rId84"/>
    <sheet name="13.3.20E" sheetId="85" r:id="rId85"/>
    <sheet name="13.3.21E" sheetId="86" r:id="rId86"/>
    <sheet name="13.3.22E" sheetId="87" r:id="rId87"/>
    <sheet name="13.3.23E" sheetId="88" r:id="rId88"/>
    <sheet name="13.3.24E" sheetId="89" r:id="rId89"/>
    <sheet name="13.3.25E" sheetId="90" r:id="rId90"/>
    <sheet name="13.3.26E" sheetId="91" r:id="rId91"/>
    <sheet name="13.3.27E" sheetId="92" r:id="rId92"/>
    <sheet name="13.3.28E" sheetId="93" r:id="rId93"/>
    <sheet name="13.3.29E" sheetId="94" r:id="rId94"/>
    <sheet name="13.3.30E" sheetId="95" r:id="rId95"/>
    <sheet name="13.3.31E" sheetId="96" r:id="rId96"/>
    <sheet name="13.3.32E" sheetId="97" r:id="rId97"/>
    <sheet name="13.3.33E" sheetId="98" r:id="rId98"/>
    <sheet name="13.3.34E" sheetId="99" r:id="rId99"/>
    <sheet name="13.3.35E" sheetId="100" r:id="rId100"/>
    <sheet name="13.3.36E" sheetId="101" r:id="rId101"/>
    <sheet name="13.3.37E" sheetId="102" r:id="rId102"/>
    <sheet name="13.3.38E" sheetId="103" r:id="rId103"/>
    <sheet name="13.3.39E" sheetId="104" r:id="rId104"/>
    <sheet name="13.3.40E" sheetId="105" r:id="rId105"/>
    <sheet name="13.3.41E" sheetId="106" r:id="rId106"/>
    <sheet name="13.3.42E" sheetId="107" r:id="rId107"/>
    <sheet name="13.3.43E" sheetId="108" r:id="rId108"/>
    <sheet name="13.3.44E" sheetId="109" r:id="rId109"/>
    <sheet name="13.3.45E" sheetId="110" r:id="rId110"/>
    <sheet name="13.3.46E" sheetId="111" r:id="rId111"/>
    <sheet name="13.3.47E" sheetId="112" r:id="rId112"/>
    <sheet name="13.3.48E" sheetId="113" r:id="rId113"/>
    <sheet name="13.3.49E" sheetId="114" r:id="rId114"/>
    <sheet name="13.3.50E" sheetId="115" r:id="rId115"/>
    <sheet name="13.3.51E" sheetId="116" r:id="rId116"/>
    <sheet name="13.3.52E" sheetId="117" r:id="rId117"/>
    <sheet name="13.3.53E" sheetId="118" r:id="rId118"/>
    <sheet name="13.3.54E" sheetId="119" r:id="rId119"/>
    <sheet name="13.3.55E" sheetId="120" r:id="rId120"/>
    <sheet name="13.3.56E" sheetId="121" r:id="rId121"/>
    <sheet name="13.3.57E" sheetId="122" r:id="rId122"/>
    <sheet name="13.3.58E" sheetId="123" r:id="rId123"/>
    <sheet name="13.3.59E" sheetId="124" r:id="rId124"/>
    <sheet name="13.3.60E" sheetId="125" r:id="rId125"/>
    <sheet name="13.3.61E" sheetId="126" r:id="rId126"/>
    <sheet name="13.3.62E" sheetId="127" r:id="rId127"/>
    <sheet name="13.3.63E" sheetId="128" r:id="rId1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28" l="1"/>
  <c r="C10" i="128"/>
  <c r="E9" i="127"/>
  <c r="C9" i="127"/>
  <c r="E38" i="126"/>
  <c r="C38" i="126"/>
  <c r="E13" i="125"/>
  <c r="C13" i="125"/>
  <c r="E11" i="124"/>
  <c r="C11" i="124"/>
  <c r="E21" i="123"/>
  <c r="C21" i="123"/>
  <c r="E49" i="122"/>
  <c r="C49" i="122"/>
  <c r="E48" i="121"/>
  <c r="C48" i="121"/>
  <c r="E22" i="120"/>
  <c r="C22" i="120"/>
  <c r="E47" i="119"/>
  <c r="C47" i="119"/>
  <c r="E11" i="118"/>
  <c r="C11" i="118"/>
  <c r="E29" i="117"/>
  <c r="C29" i="117"/>
  <c r="E36" i="116"/>
  <c r="C36" i="116"/>
  <c r="E109" i="115"/>
  <c r="C109" i="115"/>
  <c r="E9" i="114"/>
  <c r="C9" i="114"/>
  <c r="E22" i="113"/>
  <c r="C22" i="113"/>
  <c r="E8" i="112"/>
  <c r="C8" i="112"/>
  <c r="E8" i="111"/>
  <c r="C8" i="111"/>
  <c r="E25" i="110"/>
  <c r="C25" i="110"/>
  <c r="E18" i="109"/>
  <c r="C18" i="109"/>
  <c r="E25" i="108"/>
  <c r="C25" i="108"/>
  <c r="E13" i="107"/>
  <c r="C13" i="107"/>
  <c r="E25" i="106"/>
  <c r="C25" i="106"/>
  <c r="E21" i="105"/>
  <c r="C21" i="105"/>
  <c r="E25" i="104"/>
  <c r="C25" i="104"/>
  <c r="E9" i="103"/>
  <c r="C9" i="103"/>
  <c r="E104" i="102"/>
  <c r="C104" i="102"/>
  <c r="E20" i="101"/>
  <c r="C20" i="101"/>
  <c r="E25" i="100"/>
  <c r="C25" i="100"/>
  <c r="E12" i="99"/>
  <c r="C12" i="99"/>
  <c r="E37" i="98"/>
  <c r="C37" i="98"/>
  <c r="E79" i="97"/>
  <c r="C79" i="97"/>
  <c r="E141" i="96"/>
  <c r="C141" i="96"/>
  <c r="E119" i="95"/>
  <c r="C119" i="95"/>
  <c r="E13" i="94"/>
  <c r="C13" i="94"/>
  <c r="E54" i="93"/>
  <c r="C54" i="93"/>
  <c r="E8" i="92"/>
  <c r="C8" i="92"/>
  <c r="E8" i="91"/>
  <c r="C8" i="91"/>
  <c r="E29" i="90"/>
  <c r="C29" i="90"/>
  <c r="E36" i="89"/>
  <c r="C36" i="89"/>
  <c r="E11" i="88"/>
  <c r="C11" i="88"/>
  <c r="E9" i="87"/>
  <c r="C9" i="87"/>
  <c r="E9" i="86"/>
  <c r="C9" i="86"/>
  <c r="E50" i="85"/>
  <c r="C50" i="85"/>
  <c r="E8" i="84"/>
  <c r="C8" i="84"/>
  <c r="E9" i="83"/>
  <c r="C9" i="83"/>
  <c r="E80" i="82"/>
  <c r="C80" i="82"/>
  <c r="E22" i="81"/>
  <c r="C22" i="81"/>
  <c r="E23" i="80"/>
  <c r="C23" i="80"/>
  <c r="E9" i="80"/>
  <c r="C9" i="80"/>
  <c r="E8" i="79"/>
  <c r="C8" i="79"/>
  <c r="E11" i="78"/>
  <c r="C11" i="78"/>
  <c r="E20" i="77"/>
  <c r="C20" i="77"/>
  <c r="E19" i="76"/>
  <c r="C19" i="76"/>
  <c r="E36" i="75"/>
  <c r="C36" i="75"/>
  <c r="E8" i="74"/>
  <c r="C8" i="74"/>
  <c r="E9" i="73"/>
  <c r="C9" i="73"/>
  <c r="E178" i="72"/>
  <c r="C178" i="72"/>
  <c r="E29" i="71"/>
  <c r="C29" i="71"/>
  <c r="E33" i="70"/>
  <c r="C33" i="70"/>
  <c r="E8" i="69"/>
  <c r="C8" i="69"/>
  <c r="E10" i="68"/>
  <c r="C10" i="68"/>
  <c r="E31" i="67"/>
  <c r="C31" i="67"/>
  <c r="E25" i="66"/>
  <c r="C25" i="66"/>
  <c r="E9" i="65"/>
  <c r="C9" i="65"/>
  <c r="E9" i="64"/>
  <c r="C9" i="64"/>
  <c r="E9" i="63"/>
  <c r="C9" i="63"/>
  <c r="E9" i="62"/>
  <c r="C9" i="62"/>
  <c r="E9" i="61"/>
  <c r="C9" i="61"/>
  <c r="E9" i="60"/>
  <c r="C9" i="60"/>
  <c r="E9" i="59"/>
  <c r="C9" i="59"/>
  <c r="E9" i="58"/>
  <c r="C9" i="58"/>
  <c r="E9" i="57"/>
  <c r="C9" i="57"/>
  <c r="E9" i="56"/>
  <c r="C9" i="56"/>
  <c r="E9" i="55"/>
  <c r="C9" i="55"/>
  <c r="E9" i="54"/>
  <c r="C9" i="54"/>
  <c r="E9" i="53"/>
  <c r="C9" i="53"/>
  <c r="E9" i="52"/>
  <c r="C9" i="52"/>
  <c r="E9" i="51"/>
  <c r="C9" i="51"/>
  <c r="E9" i="50"/>
  <c r="C9" i="50"/>
  <c r="E9" i="49"/>
  <c r="C9" i="49"/>
  <c r="E9" i="48"/>
  <c r="C9" i="48"/>
  <c r="E9" i="47"/>
  <c r="C9" i="47"/>
  <c r="E9" i="46"/>
  <c r="C9" i="46"/>
  <c r="E9" i="45"/>
  <c r="C9" i="45"/>
  <c r="E9" i="44"/>
  <c r="C9" i="44"/>
  <c r="E9" i="43"/>
  <c r="C9" i="43"/>
  <c r="E9" i="42"/>
  <c r="C9" i="42"/>
  <c r="E9" i="41"/>
  <c r="C9" i="41"/>
  <c r="E9" i="40"/>
  <c r="C9" i="40"/>
  <c r="E9" i="39"/>
  <c r="C9" i="39"/>
  <c r="E9" i="38"/>
  <c r="C9" i="38"/>
  <c r="E9" i="37"/>
  <c r="C9" i="37"/>
  <c r="E9" i="36"/>
  <c r="C9" i="36"/>
  <c r="E9" i="35"/>
  <c r="C9" i="35"/>
  <c r="E9" i="34"/>
  <c r="C9" i="34"/>
  <c r="E9" i="33"/>
  <c r="C9" i="33"/>
  <c r="E9" i="32"/>
  <c r="C9" i="32"/>
  <c r="E9" i="31"/>
  <c r="C9" i="31"/>
  <c r="E9" i="30"/>
  <c r="C9" i="30"/>
  <c r="E9" i="29"/>
  <c r="C9" i="29"/>
  <c r="E9" i="28"/>
  <c r="C9" i="28"/>
  <c r="E9" i="27"/>
  <c r="C9" i="27"/>
  <c r="E9" i="26"/>
  <c r="C9" i="26"/>
  <c r="E9" i="25"/>
  <c r="C9" i="25"/>
  <c r="E9" i="24"/>
  <c r="C9" i="24"/>
  <c r="E9" i="23"/>
  <c r="C9" i="23"/>
  <c r="E9" i="22"/>
  <c r="C9" i="22"/>
  <c r="E9" i="21"/>
  <c r="C9" i="21"/>
  <c r="E9" i="20"/>
  <c r="C9" i="20"/>
  <c r="E9" i="19"/>
  <c r="C9" i="19"/>
  <c r="E9" i="18"/>
  <c r="C9" i="18"/>
  <c r="E10" i="17"/>
  <c r="C10" i="17"/>
  <c r="E9" i="16"/>
  <c r="C9" i="16"/>
  <c r="E9" i="15"/>
  <c r="C9" i="15"/>
  <c r="E9" i="14"/>
  <c r="C9" i="14"/>
  <c r="E9" i="13"/>
  <c r="C9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<sst xmlns="http://schemas.openxmlformats.org/spreadsheetml/2006/main" count="13249" uniqueCount="1870">
  <si>
    <t>REV-BE-PMSa-MOD-ORC-AUTISTA-EX-000-R00-ONERADO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</si>
  <si>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</si>
  <si>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</si>
  <si>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</si>
  <si>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</si>
  <si>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</si>
  <si>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</si>
  <si>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</si>
  <si>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</si>
  <si>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</si>
  <si>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13.3</t>
  </si>
  <si>
    <t>REDE SANITÁRIA E DE AGUAS PLUVIAIS</t>
  </si>
  <si>
    <t>13.3.1</t>
  </si>
  <si>
    <t>053038</t>
  </si>
  <si>
    <t>SBC</t>
  </si>
  <si>
    <t>CAIXA SIFONADA PVC 100x150x50mm C/TAMPA CEGA</t>
  </si>
  <si>
    <t>un</t>
  </si>
  <si>
    <t>18,00</t>
  </si>
  <si>
    <t>13.3.2</t>
  </si>
  <si>
    <t>COMP_SAQUA_60</t>
  </si>
  <si>
    <t>Emp</t>
  </si>
  <si>
    <t>CAIXA SIFONADA PVC 100x150x50mm COM ANTIESPUMA REF: SBC (053038)</t>
  </si>
  <si>
    <t>24,00</t>
  </si>
  <si>
    <t>13.3.3</t>
  </si>
  <si>
    <t>15.038.0326-0</t>
  </si>
  <si>
    <t>EMOP</t>
  </si>
  <si>
    <t>JOELHO 45º SOLDAVEL,COM DIAMETRO DE 75MM.FORNECIMENTO</t>
  </si>
  <si>
    <t>3,00</t>
  </si>
  <si>
    <t>13.3.4</t>
  </si>
  <si>
    <t>98110</t>
  </si>
  <si>
    <t>SINAPI</t>
  </si>
  <si>
    <t>CAIXA DE GORDURA PEQUENA (CAPACIDADE: 19 L), CIRCULAR, EM PVC, DIÂMETRO INTERNO= 0,3 M. AF_12/2020</t>
  </si>
  <si>
    <t>1,00</t>
  </si>
  <si>
    <t>13.3.5</t>
  </si>
  <si>
    <t>15.002.0200-0</t>
  </si>
  <si>
    <t>CAIXA DE INSPECAO/CAIXA PARA AGUAS PLUVIAIS,DE CONCRETO PRE- MOLDADO,CONSTANDO DE CIRCULO DE FUNDO,4 ANEIS SUPERPOSTOS DE 40MM DE ESPESSURA,600MM DE DIAMETRO INTERNO,SENDO 1 ANEL INF ERIOR(ENTRADA E SAIDA),DE 300MM+1 DE 300MM,1 DE 150MM E 1 DE 75MM DE ALTURA,PERFAZENDO 925MM DE ALTURA TOTAL,EXCLUSIVE TA MPAO DE FERRO FUNDIDO E ESCAVACAO.FORNECIMENTO E COLOCACAO</t>
  </si>
  <si>
    <t>26,00</t>
  </si>
  <si>
    <t>13.3.6</t>
  </si>
  <si>
    <t>06.014.0064-0</t>
  </si>
  <si>
    <t>CAIXA DE PASSAGEM EM ALVENARIA DE TIJOLO MACICO(7X10X20CM),E M PAREDES DE UMA VEZ(0,20M),DE 0,60X0,60X0,80M,UTILIZANDO AR GAMASSA DE CIMENTO E AREIA,NO TRACO 1:4 EM VOLUME,COM FUNDO EM CONCRETO SIMPLES PROVIDO DE CALHA INTERNA,SENDO AS PAREDE S REVESTIDAS INTERNAMENTE COM A MESMA ARGAMASSA,INCLUSIVE TA MPA DE CONCRETO ARMADO,15MPA,COM ESPESSURA DE 10CM</t>
  </si>
  <si>
    <t>22,00</t>
  </si>
  <si>
    <t>13.3.7</t>
  </si>
  <si>
    <t>15.036.0037-0</t>
  </si>
  <si>
    <t>TUBO DE PVC RIGIDO DE 25MM,SOLDAVEL,INCLUSIVE CONEXOES E EMENDAS,EXCLUSIVE ABERTURA E FECHAMENTO DE RASGO.FORNECIMENTO EASSENTAMENTO</t>
  </si>
  <si>
    <t>m</t>
  </si>
  <si>
    <t>196,01</t>
  </si>
  <si>
    <t>13.3.8</t>
  </si>
  <si>
    <t>15.036.0040-0</t>
  </si>
  <si>
    <t>TUBO DE PVC RIGIDO DE 50MM,SOLDAVEL,INCLUSIVE CONEXOES E EME NDAS,EXCLUSIVE ABERTURA E FECHAMENTO DE RASGO.FORNECIMENTO E ASSENTAMENTO</t>
  </si>
  <si>
    <t>0,47</t>
  </si>
  <si>
    <t>13.3.9</t>
  </si>
  <si>
    <t>053048</t>
  </si>
  <si>
    <t>CAP PVC ESGOTO 100mm</t>
  </si>
  <si>
    <t>13.3.10</t>
  </si>
  <si>
    <t>104316</t>
  </si>
  <si>
    <t>TUBO, PVC, SOLDÁVEL, DN 32 MM, INSTALADO EM DRENO DE AR CONDICIONADO - FORNECIMENTO E INSTALAÇÃO. AF_08/2022</t>
  </si>
  <si>
    <t>5,05</t>
  </si>
  <si>
    <t>13.3.11</t>
  </si>
  <si>
    <t>89746</t>
  </si>
  <si>
    <t>JOELHO 45 GRAUS, PVC, SERIE NORMAL, ESGOTO PREDIAL, DN 100 MM, JUNTA ELÁSTICA, FORNECIDO E INSTALADO EM RAMAL DE DESCARGA OU RAMAL DE ESGOTO SANITÁRIO. AF_08/2022</t>
  </si>
  <si>
    <t>12,00</t>
  </si>
  <si>
    <t>13.3.12</t>
  </si>
  <si>
    <t>104351</t>
  </si>
  <si>
    <t>TERMINAL DE VENTILAÇÃO, PVC, SÉRIE NORMAL, ESGOTO PREDIAL, DN 50 MM, JUNTA SOLDÁVEL, FORNECIDO E INSTALADO EM PRUMADA DE ESGOTO SANITÁRIO OU VENTILAÇÃO. AF_08/2022</t>
  </si>
  <si>
    <t>13,00</t>
  </si>
  <si>
    <t>13.3.13</t>
  </si>
  <si>
    <t>104348</t>
  </si>
  <si>
    <t>TERMINAL DE VENTILAÇÃO, PVC, SÉRIE NORMAL, ESGOTO PREDIAL, DN 75 MM, JUNTA SOLDÁVEL, FORNECIDO E INSTALADO EM PRUMADA DE ESGOTO SANITÁRIO OU VENTILAÇÃO. AF_08/2022</t>
  </si>
  <si>
    <t>4,00</t>
  </si>
  <si>
    <t>13.3.14</t>
  </si>
  <si>
    <t>94493</t>
  </si>
  <si>
    <t>REGISTRO DE ESFERA, PVC, SOLDÁVEL, COM VOLANTE, DN  60 MM - FORNECIMENTO E INSTALAÇÃO. AF_08/2021</t>
  </si>
  <si>
    <t>13.3.15</t>
  </si>
  <si>
    <t>15.038.0286-0</t>
  </si>
  <si>
    <t>CAP SOLDAVEL,COM DIAMETRO DE 75MM.FORNECIMENTO</t>
  </si>
  <si>
    <t>7,00</t>
  </si>
  <si>
    <t>13.3.16</t>
  </si>
  <si>
    <t>15.003.0177-0</t>
  </si>
  <si>
    <t>RALO DE COBERTURA SEMI-ESFERICO(TIPO ABACAXI),COM 3".FORNECIMENTO E COLOCACAO</t>
  </si>
  <si>
    <t>15,00</t>
  </si>
  <si>
    <t>13.3.17</t>
  </si>
  <si>
    <t>89778</t>
  </si>
  <si>
    <t>LUVA SIMPLES, PVC, SERIE NORMAL, ESGOTO PREDIAL, DN 100 MM, JUNTA ELÁSTICA, FORNECIDO E INSTALADO EM RAMAL DE DESCARGA OU RAMAL DE ESGOTO SANITÁRIO. AF_08/2022</t>
  </si>
  <si>
    <t>73,00</t>
  </si>
  <si>
    <t>13.3.18</t>
  </si>
  <si>
    <t>06.275.0003-0</t>
  </si>
  <si>
    <t>CURVA DE 45° DE PVC-PBA,COM BOLSA DE JUNTA ELASTICA,DIAMETRO NOMINAL 100MM. FORNECIMENTO</t>
  </si>
  <si>
    <t>2,00</t>
  </si>
  <si>
    <t>13.3.19</t>
  </si>
  <si>
    <t>15.038.0291-0</t>
  </si>
  <si>
    <t>CURVA 45º SOLDAVEL,COM DIAMETRO DE 25MM.FORNECIMENTO</t>
  </si>
  <si>
    <t>13.3.20</t>
  </si>
  <si>
    <t>053033</t>
  </si>
  <si>
    <t>PROLONGAMENTO PARA CAIXA SIFONADA PVC 100x100mm</t>
  </si>
  <si>
    <t>43,00</t>
  </si>
  <si>
    <t>13.3.21</t>
  </si>
  <si>
    <t>053420</t>
  </si>
  <si>
    <t>REDUCAO EXCENTRICA ESGOTO PVC 100x75mm</t>
  </si>
  <si>
    <t>13.3.22</t>
  </si>
  <si>
    <t>053401</t>
  </si>
  <si>
    <t>TE REDUCAO PVC ESGOTO COM ANEL DE BORRACHA 100x75mm</t>
  </si>
  <si>
    <t>13.3.23</t>
  </si>
  <si>
    <t>052220</t>
  </si>
  <si>
    <t>TE PVC SOLDAVEL 50mm</t>
  </si>
  <si>
    <t>13.3.24</t>
  </si>
  <si>
    <t>89380</t>
  </si>
  <si>
    <t>LUVA DE REDUÇÃO, PVC, SOLDÁVEL, DN 32MM X 25MM, INSTALADO EM RAMAL OU SUB-RAMAL DE ÁGUA - FORNECIMENTO E INSTALAÇÃO. AF_06/2022</t>
  </si>
  <si>
    <t>29,00</t>
  </si>
  <si>
    <t>13.3.25</t>
  </si>
  <si>
    <t>052223</t>
  </si>
  <si>
    <t>TE PVC SOLDAVEL 25mm</t>
  </si>
  <si>
    <t>13.3.26</t>
  </si>
  <si>
    <t>95693</t>
  </si>
  <si>
    <t>LUVA SIMPLES, PVC, SÉRIE NORMAL, ESGOTO PREDIAL, DN 150 MM, JUNTA ELÁSTICA, FORNECIDO E INSTALADO EM SUBCOLETOR AÉREO DE ESGOTO SANITÁRIO. AF_08/2022</t>
  </si>
  <si>
    <t>13.3.27</t>
  </si>
  <si>
    <t>89677</t>
  </si>
  <si>
    <t>LUVA SIMPLES, PVC, SERIE R, ÁGUA PLUVIAL, DN 150 MM, JUNTA ELÁSTICA, FORNECIDO E INSTALADO EM CONDUTORES VERTICAIS DE ÁGUAS PLUVIAIS. AF_06/2022</t>
  </si>
  <si>
    <t>13.3.28</t>
  </si>
  <si>
    <t>89753</t>
  </si>
  <si>
    <t>LUVA SIMPLES, PVC, SERIE NORMAL, ESGOTO PREDIAL, DN 50 MM, JUNTA ELÁSTICA, FORNECIDO E INSTALADO EM RAMAL DE DESCARGA OU RAMAL DE ESGOTO SANITÁRIO. AF_08/2022</t>
  </si>
  <si>
    <t>47,00</t>
  </si>
  <si>
    <t>13.3.29</t>
  </si>
  <si>
    <t>89817</t>
  </si>
  <si>
    <t>LUVA SIMPLES, PVC, SERIE NORMAL, ESGOTO PREDIAL, DN 75 MM, JUNTA ELÁSTICA, FORNECIDO E INSTALADO EM PRUMADA DE ESGOTO SANITÁRIO OU VENTILAÇÃO. AF_08/2022</t>
  </si>
  <si>
    <t>6,00</t>
  </si>
  <si>
    <t>13.3.30</t>
  </si>
  <si>
    <t>89711</t>
  </si>
  <si>
    <t>TUBO PVC, SERIE NORMAL, ESGOTO PREDIAL, DN 40 MM, FORNECIDO E INSTALADO EM RAMAL DE DESCARGA OU RAMAL DE ESGOTO SANITÁRIO. AF_08/2022</t>
  </si>
  <si>
    <t>43,84</t>
  </si>
  <si>
    <t>13.3.31</t>
  </si>
  <si>
    <t>89798</t>
  </si>
  <si>
    <t>TUBO PVC, SERIE NORMAL, ESGOTO PREDIAL, DN 50 MM, FORNECIDO E INSTALADO EM PRUMADA DE ESGOTO SANITÁRIO OU VENTILAÇÃO. AF_08/2022</t>
  </si>
  <si>
    <t>148,62</t>
  </si>
  <si>
    <t>13.3.32</t>
  </si>
  <si>
    <t>89724</t>
  </si>
  <si>
    <t>JOELHO 90 GRAUS, PVC, SERIE NORMAL, ESGOTO PREDIAL, DN 40 MM, JUNTA SOLDÁVEL, FORNECIDO E INSTALADO EM RAMAL DE DESCARGA OU RAMAL DE ESGOTO SANITÁRIO. AF_08/2022</t>
  </si>
  <si>
    <t>72,00</t>
  </si>
  <si>
    <t>13.3.33</t>
  </si>
  <si>
    <t>89731</t>
  </si>
  <si>
    <t>JOELHO 90 GRAUS, PVC, SERIE NORMAL, ESGOTO PREDIAL, DN 50 MM, JUNTA ELÁSTICA, FORNECIDO E INSTALADO EM RAMAL DE DESCARGA OU RAMAL DE ESGOTO SANITÁRIO. AF_08/2022</t>
  </si>
  <si>
    <t>30,00</t>
  </si>
  <si>
    <t>13.3.34</t>
  </si>
  <si>
    <t>89737</t>
  </si>
  <si>
    <t>JOELHO 90 GRAUS, PVC, SERIE NORMAL, ESGOTO PREDIAL, DN 75 MM, JUNTA ELÁSTICA, FORNECIDO E INSTALADO EM RAMAL DE DESCARGA OU RAMAL DE ESGOTO SANITÁRIO. AF_08/2022</t>
  </si>
  <si>
    <t>5,00</t>
  </si>
  <si>
    <t>13.3.35</t>
  </si>
  <si>
    <t>89744</t>
  </si>
  <si>
    <t>JOELHO 90 GRAUS, PVC, SERIE NORMAL, ESGOTO PREDIAL, DN 100 MM, JUNTA ELÁSTICA, FORNECIDO E INSTALADO EM RAMAL DE DESCARGA OU RAMAL DE ESGOTO SANITÁRIO. AF_08/2022</t>
  </si>
  <si>
    <t>13.3.36</t>
  </si>
  <si>
    <t>89799</t>
  </si>
  <si>
    <t>TUBO PVC, SERIE NORMAL, ESGOTO PREDIAL, DN 75 MM, FORNECIDO E INSTALADO EM PRUMADA DE ESGOTO SANITÁRIO OU VENTILAÇÃO. AF_08/2022</t>
  </si>
  <si>
    <t>26,42</t>
  </si>
  <si>
    <t>13.3.37</t>
  </si>
  <si>
    <t>89800</t>
  </si>
  <si>
    <t>TUBO PVC, SERIE NORMAL, ESGOTO PREDIAL, DN 100 MM, FORNECIDO E INSTALADO EM PRUMADA DE ESGOTO SANITÁRIO OU VENTILAÇÃO. AF_08/2022</t>
  </si>
  <si>
    <t>78,88</t>
  </si>
  <si>
    <t>13.3.38</t>
  </si>
  <si>
    <t>89849</t>
  </si>
  <si>
    <t>TUBO PVC, SERIE NORMAL, ESGOTO PREDIAL, DN 150 MM, FORNECIDO E INSTALADO EM SUBCOLETOR AÉREO DE ESGOTO SANITÁRIO. AF_08/2022</t>
  </si>
  <si>
    <t>5,09</t>
  </si>
  <si>
    <t>13.3.39</t>
  </si>
  <si>
    <t>06.272.0003-0</t>
  </si>
  <si>
    <t>TUBO PVC,CONFORME ABNT NBR-7362,PARA ESGOTO SANITARIO,COM DI AMETRO NOMINAL DE 150MM,INCLUSIVE ANEL DE BORRACHA.FORNECIME NTO</t>
  </si>
  <si>
    <t>75,06</t>
  </si>
  <si>
    <t>13.3.40</t>
  </si>
  <si>
    <t>104085</t>
  </si>
  <si>
    <t>TUBO, PVC OCRE, JUNTA ELÁSTICA, DN 100 MM, PARA COLETOR PREDIAL DE ESGOTO. AF_06/2022</t>
  </si>
  <si>
    <t>115,32</t>
  </si>
  <si>
    <t>13.3.41</t>
  </si>
  <si>
    <t>104086</t>
  </si>
  <si>
    <t>TUBO, PVC OCRE, JUNTA ELÁSTICA, DN 150 MM, PARA COLETOR PREDIAL DE ESGOTO. AF_06/2022</t>
  </si>
  <si>
    <t>110,45</t>
  </si>
  <si>
    <t>13.3.42</t>
  </si>
  <si>
    <t>IT 15.10.0203</t>
  </si>
  <si>
    <t>SCO</t>
  </si>
  <si>
    <t>Joelho de PVC rigido, serie R, 45o, ponta e bolsa, diametro de 75mm. Fornecimento e instalacao.</t>
  </si>
  <si>
    <t>13.3.43</t>
  </si>
  <si>
    <t>IT 15.10.0253</t>
  </si>
  <si>
    <t>Joelho de PVC rigido para esgoto, serie R, 90o, diametro de 75mm. Fornecimento e instalacao.</t>
  </si>
  <si>
    <t>13.3.44</t>
  </si>
  <si>
    <t>IT 15.10.0209</t>
  </si>
  <si>
    <t>Joelho de PVC rigido, 45o, serie R, ponta e bolsa, diametro de 150mm. Fornecimento e instalacao.</t>
  </si>
  <si>
    <t>11,00</t>
  </si>
  <si>
    <t>13.3.45</t>
  </si>
  <si>
    <t>89590</t>
  </si>
  <si>
    <t>JOELHO 90 GRAUS, PVC, SERIE R, ÁGUA PLUVIAL, DN 150 MM, JUNTA ELÁSTICA, FORNECIDO E INSTALADO EM CONDUTORES VERTICAIS DE ÁGUAS PLUVIAIS. AF_06/2022</t>
  </si>
  <si>
    <t>13.3.46</t>
  </si>
  <si>
    <t>104063</t>
  </si>
  <si>
    <t>CURVA LONGA, 45 GRAUS, PVC OCRE, JUNTA ELÁSTICA, DN 100 MM, PARA COLETOR PREDIAL DE ESGOTO. AF_06/2022</t>
  </si>
  <si>
    <t>13.3.47</t>
  </si>
  <si>
    <t>13.3.48</t>
  </si>
  <si>
    <t>15.038.0301-0</t>
  </si>
  <si>
    <t>CURVA 90º SOLDAVEL,COM DIAMETRO DE 25MM.FORNECIMENTO</t>
  </si>
  <si>
    <t>13.3.49</t>
  </si>
  <si>
    <t>15.038.0321-0</t>
  </si>
  <si>
    <t>JOELHO 45º SOLDAVEL,COM DIAMETRO DE 25MM.FORNECIMENTO</t>
  </si>
  <si>
    <t>13.3.50</t>
  </si>
  <si>
    <t>15.038.0336-0</t>
  </si>
  <si>
    <t>JOELHO 90º SOLDAVEL,COM DIAMETRO DE 25MM.FORNECIMENTO</t>
  </si>
  <si>
    <t>102,00</t>
  </si>
  <si>
    <t>13.3.51</t>
  </si>
  <si>
    <t>13.3.52</t>
  </si>
  <si>
    <t>15.038.0386-0</t>
  </si>
  <si>
    <t>TE SOLDAVEL 90º,COM DIAMETRO DE 25MM.FORNECIMENTO</t>
  </si>
  <si>
    <t>13.3.53</t>
  </si>
  <si>
    <t>90696</t>
  </si>
  <si>
    <t>TUBO DE PVC PARA REDE COLETORA DE ESGOTO DE PAREDE MACIÇA, DN 200 MM, JUNTA ELÁSTICA - FORNECIMENTO E ASSENTAMENTO. AF_01/2021</t>
  </si>
  <si>
    <t>17,71</t>
  </si>
  <si>
    <t>13.3.54</t>
  </si>
  <si>
    <t>103379</t>
  </si>
  <si>
    <t>TUBO PEAD LISO PARA REDE DE ÁGUA OU ESGOTO, DIÂMETRO DE 110 MM, JUNTA SOLDADA (NÃO INCLUI A EXECUÇÃO DE SOLDA) - FORNECIMENTO E ASSENTAMENTO. AF_12/2021</t>
  </si>
  <si>
    <t>198,20</t>
  </si>
  <si>
    <t>13.3.55</t>
  </si>
  <si>
    <t>13.3.56</t>
  </si>
  <si>
    <t>15.038.0323-0</t>
  </si>
  <si>
    <t>JOELHO 45º SOLDAVEL,COM DIAMETRO DE 40MM.FORNECIMENTO</t>
  </si>
  <si>
    <t>41,00</t>
  </si>
  <si>
    <t>13.3.57</t>
  </si>
  <si>
    <t>15.038.0324-0</t>
  </si>
  <si>
    <t>JOELHO 45º SOLDAVEL,COM DIAMETRO DE 50MM.FORNECIMENTO</t>
  </si>
  <si>
    <t>42,00</t>
  </si>
  <si>
    <t>13.3.58</t>
  </si>
  <si>
    <t>89512</t>
  </si>
  <si>
    <t>TUBO PVC, SÉRIE R, ÁGUA PLUVIAL, DN 100 MM, FORNECIDO E INSTALADO EM RAMAL DE ENCAMINHAMENTO. AF_06/2022</t>
  </si>
  <si>
    <t>21,44</t>
  </si>
  <si>
    <t>13.3.59</t>
  </si>
  <si>
    <t>06.001.0774-0</t>
  </si>
  <si>
    <t>ASSENTAMENTO DE TUBOS DE POLIETILENO,COM DE ACIMA DE 180MM A 225MM,INCLUSIVE TESTE HIDROSTATICO,EXCLUSIVE SOLDA DAS JUNT AS E FORNECIMENTO DE TUBOS E DE CONEXOES</t>
  </si>
  <si>
    <t>13.3.60</t>
  </si>
  <si>
    <t>89834</t>
  </si>
  <si>
    <t>JUNÇÃO SIMPLES, PVC, SERIE NORMAL, ESGOTO PREDIAL, DN 100 X 100 MM, JUNTA ELÁSTICA, FORNECIDO E INSTALADO EM PRUMADA DE ESGOTO SANITÁRIO OU VENTILAÇÃO. AF_08/2022</t>
  </si>
  <si>
    <t>13.3.61</t>
  </si>
  <si>
    <t>104345</t>
  </si>
  <si>
    <t>JUNÇÃO DE REDUÇÃO INVERTIDA, PVC, SÉRIE NORMAL, ESGOTO PREDIAL, DN 100 X 50 MM, JUNTA ELÁSTICA, FORNECIDO E INSTALADO EM RAMAL DE DESCARGA OU RAMAL DE ESGOTO SANITÁRIO. AF_08/2022</t>
  </si>
  <si>
    <t>31,00</t>
  </si>
  <si>
    <t>DR 05.50.1106</t>
  </si>
  <si>
    <t>Luva de correr de PVC rigido, Vinilfort, classe 12, inclusive fornecimento do material para junta (anel de borracha) com diametro nominal de 200mm. Fornecimento e assentamento.</t>
  </si>
  <si>
    <t>89785</t>
  </si>
  <si>
    <t>JUNÇÃO SIMPLES, PVC, SERIE NORMAL, ESGOTO PREDIAL, DN 50 X 50 MM, JUNTA ELÁSTICA, FORNECIDO E INSTALADO EM RAMAL DE DESCARGA OU RAMAL DE ESGOTO SANITÁRIO. AF_08/2022</t>
  </si>
  <si>
    <t>18</t>
  </si>
  <si>
    <t>Resumo do Critério</t>
  </si>
  <si>
    <t>Tipo</t>
  </si>
  <si>
    <t>Elementos</t>
  </si>
  <si>
    <t>Nome do Subcritério</t>
  </si>
  <si>
    <t>Categoria</t>
  </si>
  <si>
    <t>Peças hidrossanitárias (Ajuste altura furos)</t>
  </si>
  <si>
    <t/>
  </si>
  <si>
    <t>Adicionar a</t>
  </si>
  <si>
    <t>Seleção</t>
  </si>
  <si>
    <t>Ajuste altura furos</t>
  </si>
  <si>
    <t>Filtro de Fase</t>
  </si>
  <si>
    <t>Criado em</t>
  </si>
  <si>
    <t>Demolido em</t>
  </si>
  <si>
    <t>------</t>
  </si>
  <si>
    <t>Ou</t>
  </si>
  <si>
    <t>Filtro de Família</t>
  </si>
  <si>
    <t>Família</t>
  </si>
  <si>
    <t>ESG_Caixa Sifonada Montada_100x150x50</t>
  </si>
  <si>
    <t>100x150x50</t>
  </si>
  <si>
    <t>Filtro de Parâmetro</t>
  </si>
  <si>
    <t>Comparação</t>
  </si>
  <si>
    <t>Valor</t>
  </si>
  <si>
    <t>Parâmetro</t>
  </si>
  <si>
    <t>Instância</t>
  </si>
  <si>
    <t>Não é igual a</t>
  </si>
  <si>
    <t>Com Antiespuma</t>
  </si>
  <si>
    <t>Comentários</t>
  </si>
  <si>
    <t>E</t>
  </si>
  <si>
    <t>24</t>
  </si>
  <si>
    <t>PÇ_Antiespuma</t>
  </si>
  <si>
    <t>100 mm</t>
  </si>
  <si>
    <t>Igual a</t>
  </si>
  <si>
    <t>Antiespuma 100 mm, Esgoto</t>
  </si>
  <si>
    <t>3</t>
  </si>
  <si>
    <t>Conexões de tubo (Afastamento)</t>
  </si>
  <si>
    <t>Afastamento</t>
  </si>
  <si>
    <t>ESG_Serie Normal_Joelho 45_90</t>
  </si>
  <si>
    <t>Standard</t>
  </si>
  <si>
    <t>Joelho 45º 75mm, Esgoto Série Normal</t>
  </si>
  <si>
    <t>DarivaBIM: Descrição</t>
  </si>
  <si>
    <t>1</t>
  </si>
  <si>
    <t>ESG_Caixa de Gordura_Tigre</t>
  </si>
  <si>
    <t>Com prolongador - Sem entrada</t>
  </si>
  <si>
    <t>Caixa de Gordura Pequena (CGP) - TIGRE</t>
  </si>
  <si>
    <t>26</t>
  </si>
  <si>
    <t>PLUV_Caixa de Passagem Pluvial de Alvenaria</t>
  </si>
  <si>
    <t>Caixa de passagem pluvial</t>
  </si>
  <si>
    <t>Caixa de Passagem Pluvial de Alvenaria</t>
  </si>
  <si>
    <t>22</t>
  </si>
  <si>
    <t>Peças hidrossanitárias</t>
  </si>
  <si>
    <t>ESG_Caixa de Inspeção de Alvenaria</t>
  </si>
  <si>
    <t>Caixa de Inspeção de Alvenaria</t>
  </si>
  <si>
    <t>Tubulação (Comprimento)</t>
  </si>
  <si>
    <t>Comprimento</t>
  </si>
  <si>
    <t>Tipos de tubos</t>
  </si>
  <si>
    <t>AF_Tubo Marrom Soldável</t>
  </si>
  <si>
    <t>25,00 mmø</t>
  </si>
  <si>
    <t>Tamanho</t>
  </si>
  <si>
    <t>Tubulação</t>
  </si>
  <si>
    <t>Tubo Soldável Marrom</t>
  </si>
  <si>
    <t>50,00 mmø</t>
  </si>
  <si>
    <t>ESG_Serie Normal_Cap</t>
  </si>
  <si>
    <t>100,00 mmø</t>
  </si>
  <si>
    <t>32,00 mmø</t>
  </si>
  <si>
    <t>12</t>
  </si>
  <si>
    <t>Joelho 45º 100mm, Esgoto Série Normal</t>
  </si>
  <si>
    <t>13</t>
  </si>
  <si>
    <t>Conexões de tubo</t>
  </si>
  <si>
    <t>ESG_Serie Normal_Terminal de Ventilacao</t>
  </si>
  <si>
    <t>Terminal de Ventilação 50mm, Esgoto Série Normal</t>
  </si>
  <si>
    <t>4</t>
  </si>
  <si>
    <t>Terminal de Ventilação 75mm, Esgoto Série Normal</t>
  </si>
  <si>
    <t>Acessórios do tubo (Altura 1)</t>
  </si>
  <si>
    <t>Altura 1</t>
  </si>
  <si>
    <t>AF_Registro Esfera VS</t>
  </si>
  <si>
    <t>Soldável - 50 mm</t>
  </si>
  <si>
    <t>7</t>
  </si>
  <si>
    <t>PLUV_Serie Normal_Cap</t>
  </si>
  <si>
    <t xml:space="preserve">Cap 75mm, Esgoto Série Normal </t>
  </si>
  <si>
    <t>Cap 75mm, Esgoto Série Reforçada - TIGRE</t>
  </si>
  <si>
    <t>15</t>
  </si>
  <si>
    <t>PLUV_Grelha Ralo Hemisférico_Abacaxi</t>
  </si>
  <si>
    <t>Grelha Abacaxi</t>
  </si>
  <si>
    <t>Grelha Ralo Hemisférico (Abacaxi)</t>
  </si>
  <si>
    <t>73</t>
  </si>
  <si>
    <t>ESG_Serie Normal_Luva Simples</t>
  </si>
  <si>
    <t>100,00 mmø-100,00 mmø</t>
  </si>
  <si>
    <t>2</t>
  </si>
  <si>
    <t>ESG_Serie Normal_Curva 45_90 Longa</t>
  </si>
  <si>
    <t>Curva 45º Longa 100mm, Esgoto Série Normal</t>
  </si>
  <si>
    <t>AF_Soldavel_Curva 45_90</t>
  </si>
  <si>
    <t>Curva 45º Soldável 25mm, PVC Marrom, Água Fria</t>
  </si>
  <si>
    <t>43</t>
  </si>
  <si>
    <t>PÇ_Prolongamento para Caixa Sifonada - Tigre</t>
  </si>
  <si>
    <t>100 x 100 mm</t>
  </si>
  <si>
    <t>Prolongamento p/ Caixa Sifonada 100 x 100mm, Esgoto</t>
  </si>
  <si>
    <t>ESG_Serie Normal_Reducao Excentrica</t>
  </si>
  <si>
    <t>Redução Excêntrica 100x50mm, Esgoto Série Normal</t>
  </si>
  <si>
    <t>ESG_Serie Normal_Te_Juncao</t>
  </si>
  <si>
    <t>Tê 100 x 75mm, Esgoto Série Normal</t>
  </si>
  <si>
    <t>Tê 50 x 50mm, Esgoto Série Normal</t>
  </si>
  <si>
    <t>29</t>
  </si>
  <si>
    <t>AF_Soldavel_Luva de Reducao</t>
  </si>
  <si>
    <t>Luva de Redução Soldável, PVC Marrom, Água Fria - TIGRE</t>
  </si>
  <si>
    <t>AF_Soldavel_Te_Reducao</t>
  </si>
  <si>
    <t>Tê Soldável 25mm, PVC Marrom, Água Fria</t>
  </si>
  <si>
    <t>Luva Simples 150mm, Esgoto Série Normal</t>
  </si>
  <si>
    <t>47</t>
  </si>
  <si>
    <t>Luva Simples 50mm, Esgoto Série Normal</t>
  </si>
  <si>
    <t>6</t>
  </si>
  <si>
    <t>Luva Simples 75mm, Esgoto Série Normal</t>
  </si>
  <si>
    <t>ESG_Tubo Série Normal</t>
  </si>
  <si>
    <t>Tubo Série Normal</t>
  </si>
  <si>
    <t>40,00 mmø</t>
  </si>
  <si>
    <t>72</t>
  </si>
  <si>
    <t>Joelho 90º 40mm, Esgoto Série Normal</t>
  </si>
  <si>
    <t>30</t>
  </si>
  <si>
    <t>Joelho 90º 50mm, Esgoto Série Normal</t>
  </si>
  <si>
    <t>5</t>
  </si>
  <si>
    <t>Joelho 90º 75mm, Esgoto Série Normal</t>
  </si>
  <si>
    <t>Joelho 90º 100mm, Esgoto Série Normal</t>
  </si>
  <si>
    <t>75,00 mmø</t>
  </si>
  <si>
    <t>150,00 mmø</t>
  </si>
  <si>
    <t>ESG_Tubo Vinilforte Coletor JEI</t>
  </si>
  <si>
    <t>Tubo Vinilforte Coletor JEI</t>
  </si>
  <si>
    <t>PLUV_Tubo Vinilforte Coletor Pluvial JEI</t>
  </si>
  <si>
    <t>PLUV_Serie Reforcada_Joelho 45_90</t>
  </si>
  <si>
    <t>Joelho 45º 75mm, Esgoto Série Reforçada</t>
  </si>
  <si>
    <t>Joelho 90º 75mm, Esgoto Série Reforçada</t>
  </si>
  <si>
    <t>11</t>
  </si>
  <si>
    <t>Joelho 45º 150mm, Esgoto Série Reforçada</t>
  </si>
  <si>
    <t>Joelho 90º 150mm, Esgoto Série Reforçada</t>
  </si>
  <si>
    <t>PLUV_Serie Normal_Curva 45_90 Longa</t>
  </si>
  <si>
    <t>Curva 90º Soldável 25mm, PVC Marrom, Água Fria</t>
  </si>
  <si>
    <t>AF_Soldavel_Joelho 45_90</t>
  </si>
  <si>
    <t>Joelho 45º Soldável 25mm, PVC Marrom, Água Fria</t>
  </si>
  <si>
    <t>102</t>
  </si>
  <si>
    <t>Joelho 90º Soldável 25mm, PVC Marrom, Água Fria</t>
  </si>
  <si>
    <t>Luva de Redução Soldável 32x25mm, PVC Marrom, Água Fria</t>
  </si>
  <si>
    <t>200,00 mmø</t>
  </si>
  <si>
    <t>198,2</t>
  </si>
  <si>
    <t>Tubo de Pead Corrugado Perfurado</t>
  </si>
  <si>
    <t>41</t>
  </si>
  <si>
    <t>Joelho 45º 40mm, Esgoto Série Normal</t>
  </si>
  <si>
    <t>42</t>
  </si>
  <si>
    <t>Joelho 45º 50mm, Esgoto Série Normal</t>
  </si>
  <si>
    <t>PLUV_Tubo Série Reforçada</t>
  </si>
  <si>
    <t>Tubo Série Reforçada</t>
  </si>
  <si>
    <t>Junção Simples 100 x 100mm, Esgoto Série Normal</t>
  </si>
  <si>
    <t>31</t>
  </si>
  <si>
    <t>Junção Simples 100 x 50mm, Esgoto Série Normal</t>
  </si>
  <si>
    <t>PLUV_Serie Reforcada_Luva Simples</t>
  </si>
  <si>
    <t>Luva Simples 200mm, Esgoto Série Reforçada</t>
  </si>
  <si>
    <t>Junção Simples 50 x 50mm, Esgoto Série Normal</t>
  </si>
  <si>
    <t>Projeto</t>
  </si>
  <si>
    <t>Vínculo</t>
  </si>
  <si>
    <t>Elemento</t>
  </si>
  <si>
    <t>Id do Revit</t>
  </si>
  <si>
    <t>Totais:</t>
  </si>
  <si>
    <t>BE-PMSa-MOD-HIDRO-ESCOLAAUTISTA-EX-000-R00</t>
  </si>
  <si>
    <t>27963015</t>
  </si>
  <si>
    <t>27982963</t>
  </si>
  <si>
    <t>27971913</t>
  </si>
  <si>
    <t>27973975</t>
  </si>
  <si>
    <t>27974108</t>
  </si>
  <si>
    <t>27974423</t>
  </si>
  <si>
    <t>27974528</t>
  </si>
  <si>
    <t>27974633</t>
  </si>
  <si>
    <t>27974843</t>
  </si>
  <si>
    <t>28114841</t>
  </si>
  <si>
    <t>28114934</t>
  </si>
  <si>
    <t>28079215</t>
  </si>
  <si>
    <t>28022162</t>
  </si>
  <si>
    <t>28022714</t>
  </si>
  <si>
    <t>28023251</t>
  </si>
  <si>
    <t>28023261</t>
  </si>
  <si>
    <t>27985316</t>
  </si>
  <si>
    <t>27987220</t>
  </si>
  <si>
    <t>27959461</t>
  </si>
  <si>
    <t>27960864</t>
  </si>
  <si>
    <t>27963795</t>
  </si>
  <si>
    <t>27966253</t>
  </si>
  <si>
    <t>27967449</t>
  </si>
  <si>
    <t>27968473</t>
  </si>
  <si>
    <t>27968757</t>
  </si>
  <si>
    <t>27969034</t>
  </si>
  <si>
    <t>27981376</t>
  </si>
  <si>
    <t>27972126</t>
  </si>
  <si>
    <t>27973985</t>
  </si>
  <si>
    <t>27974432</t>
  </si>
  <si>
    <t>27974537</t>
  </si>
  <si>
    <t>27974642</t>
  </si>
  <si>
    <t>27974852</t>
  </si>
  <si>
    <t>27977395</t>
  </si>
  <si>
    <t>27978803</t>
  </si>
  <si>
    <t>27980038</t>
  </si>
  <si>
    <t>28303213</t>
  </si>
  <si>
    <t>28114850</t>
  </si>
  <si>
    <t>28115006</t>
  </si>
  <si>
    <t>27982204</t>
  </si>
  <si>
    <t>27986612</t>
  </si>
  <si>
    <t>28217514</t>
  </si>
  <si>
    <t>28084966</t>
  </si>
  <si>
    <t>28084992</t>
  </si>
  <si>
    <t>28057943</t>
  </si>
  <si>
    <t>27965885</t>
  </si>
  <si>
    <t>28136664</t>
  </si>
  <si>
    <t>28137845</t>
  </si>
  <si>
    <t>27988883</t>
  </si>
  <si>
    <t>28140730</t>
  </si>
  <si>
    <t>27989577</t>
  </si>
  <si>
    <t>27989681</t>
  </si>
  <si>
    <t>27990697</t>
  </si>
  <si>
    <t>27991908</t>
  </si>
  <si>
    <t>27991933</t>
  </si>
  <si>
    <t>27992665</t>
  </si>
  <si>
    <t>27993457</t>
  </si>
  <si>
    <t>27993651</t>
  </si>
  <si>
    <t>28029499</t>
  </si>
  <si>
    <t>28116695</t>
  </si>
  <si>
    <t>28117513</t>
  </si>
  <si>
    <t>28117928</t>
  </si>
  <si>
    <t>28118057</t>
  </si>
  <si>
    <t>28119222</t>
  </si>
  <si>
    <t>28119389</t>
  </si>
  <si>
    <t>28119479</t>
  </si>
  <si>
    <t>28119491</t>
  </si>
  <si>
    <t>28119747</t>
  </si>
  <si>
    <t>28123423</t>
  </si>
  <si>
    <t>28090936</t>
  </si>
  <si>
    <t>28121469</t>
  </si>
  <si>
    <t>28138232</t>
  </si>
  <si>
    <t>27962445</t>
  </si>
  <si>
    <t>27965342</t>
  </si>
  <si>
    <t>27965467</t>
  </si>
  <si>
    <t>27968312</t>
  </si>
  <si>
    <t>27970204</t>
  </si>
  <si>
    <t>27970472</t>
  </si>
  <si>
    <t>27970732</t>
  </si>
  <si>
    <t>28025285</t>
  </si>
  <si>
    <t>28028076</t>
  </si>
  <si>
    <t>27974943</t>
  </si>
  <si>
    <t>27975022</t>
  </si>
  <si>
    <t>27975111</t>
  </si>
  <si>
    <t>27975188</t>
  </si>
  <si>
    <t>27975289</t>
  </si>
  <si>
    <t>27976639</t>
  </si>
  <si>
    <t>27978890</t>
  </si>
  <si>
    <t>27979227</t>
  </si>
  <si>
    <t>27975955</t>
  </si>
  <si>
    <t>27976104</t>
  </si>
  <si>
    <t>27976213</t>
  </si>
  <si>
    <t>27976278</t>
  </si>
  <si>
    <t>27976363</t>
  </si>
  <si>
    <t>28107080</t>
  </si>
  <si>
    <t>28090748</t>
  </si>
  <si>
    <t>28091103</t>
  </si>
  <si>
    <t>28091161</t>
  </si>
  <si>
    <t>28091174</t>
  </si>
  <si>
    <t>28091244</t>
  </si>
  <si>
    <t>28091256</t>
  </si>
  <si>
    <t>28091422</t>
  </si>
  <si>
    <t>28091473</t>
  </si>
  <si>
    <t>28091603</t>
  </si>
  <si>
    <t>28091613</t>
  </si>
  <si>
    <t>28091621</t>
  </si>
  <si>
    <t>28091699</t>
  </si>
  <si>
    <t>28091703</t>
  </si>
  <si>
    <t>28091707</t>
  </si>
  <si>
    <t>28091711</t>
  </si>
  <si>
    <t>28091717</t>
  </si>
  <si>
    <t>28091721</t>
  </si>
  <si>
    <t>28091725</t>
  </si>
  <si>
    <t>28091729</t>
  </si>
  <si>
    <t>28091770</t>
  </si>
  <si>
    <t>28091799</t>
  </si>
  <si>
    <t>28092211</t>
  </si>
  <si>
    <t>28092215</t>
  </si>
  <si>
    <t>28092219</t>
  </si>
  <si>
    <t>28092223</t>
  </si>
  <si>
    <t>28092229</t>
  </si>
  <si>
    <t>28092233</t>
  </si>
  <si>
    <t>28092237</t>
  </si>
  <si>
    <t>28092241</t>
  </si>
  <si>
    <t>28092269</t>
  </si>
  <si>
    <t>28092362</t>
  </si>
  <si>
    <t>28092370</t>
  </si>
  <si>
    <t>28092428</t>
  </si>
  <si>
    <t>28092432</t>
  </si>
  <si>
    <t>28092436</t>
  </si>
  <si>
    <t>28092440</t>
  </si>
  <si>
    <t>28092446</t>
  </si>
  <si>
    <t>28092450</t>
  </si>
  <si>
    <t>28092458</t>
  </si>
  <si>
    <t>28092518</t>
  </si>
  <si>
    <t>28092548</t>
  </si>
  <si>
    <t>28092558</t>
  </si>
  <si>
    <t>28092566</t>
  </si>
  <si>
    <t>28092981</t>
  </si>
  <si>
    <t>28092985</t>
  </si>
  <si>
    <t>28092989</t>
  </si>
  <si>
    <t>28092993</t>
  </si>
  <si>
    <t>28093040</t>
  </si>
  <si>
    <t>28093044</t>
  </si>
  <si>
    <t>28093048</t>
  </si>
  <si>
    <t>28093103</t>
  </si>
  <si>
    <t>28093112</t>
  </si>
  <si>
    <t>28093115</t>
  </si>
  <si>
    <t>28093168</t>
  </si>
  <si>
    <t>28093176</t>
  </si>
  <si>
    <t>28093180</t>
  </si>
  <si>
    <t>28093289</t>
  </si>
  <si>
    <t>28093293</t>
  </si>
  <si>
    <t>28093297</t>
  </si>
  <si>
    <t>28093346</t>
  </si>
  <si>
    <t>28093366</t>
  </si>
  <si>
    <t>28093376</t>
  </si>
  <si>
    <t>28093409</t>
  </si>
  <si>
    <t>28093413</t>
  </si>
  <si>
    <t>28093417</t>
  </si>
  <si>
    <t>28093421</t>
  </si>
  <si>
    <t>28093429</t>
  </si>
  <si>
    <t>28093433</t>
  </si>
  <si>
    <t>28093437</t>
  </si>
  <si>
    <t>28093440</t>
  </si>
  <si>
    <t>28093445</t>
  </si>
  <si>
    <t>28093521</t>
  </si>
  <si>
    <t>28093525</t>
  </si>
  <si>
    <t>28093529</t>
  </si>
  <si>
    <t>28093533</t>
  </si>
  <si>
    <t>28093541</t>
  </si>
  <si>
    <t>28093545</t>
  </si>
  <si>
    <t>28093549</t>
  </si>
  <si>
    <t>28093552</t>
  </si>
  <si>
    <t>28093557</t>
  </si>
  <si>
    <t>28093559</t>
  </si>
  <si>
    <t>28093563</t>
  </si>
  <si>
    <t>28093567</t>
  </si>
  <si>
    <t>28093571</t>
  </si>
  <si>
    <t>28093579</t>
  </si>
  <si>
    <t>28093583</t>
  </si>
  <si>
    <t>28093587</t>
  </si>
  <si>
    <t>28093590</t>
  </si>
  <si>
    <t>28093595</t>
  </si>
  <si>
    <t>28093637</t>
  </si>
  <si>
    <t>28093688</t>
  </si>
  <si>
    <t>28093692</t>
  </si>
  <si>
    <t>28093696</t>
  </si>
  <si>
    <t>28093700</t>
  </si>
  <si>
    <t>28093733</t>
  </si>
  <si>
    <t>28093745</t>
  </si>
  <si>
    <t>28093794</t>
  </si>
  <si>
    <t>28093798</t>
  </si>
  <si>
    <t>28093802</t>
  </si>
  <si>
    <t>28093806</t>
  </si>
  <si>
    <t>28093812</t>
  </si>
  <si>
    <t>28093892</t>
  </si>
  <si>
    <t>28093896</t>
  </si>
  <si>
    <t>28093900</t>
  </si>
  <si>
    <t>28093904</t>
  </si>
  <si>
    <t>28093910</t>
  </si>
  <si>
    <t>28093914</t>
  </si>
  <si>
    <t>28093918</t>
  </si>
  <si>
    <t>28093924</t>
  </si>
  <si>
    <t>28094002</t>
  </si>
  <si>
    <t>28094095</t>
  </si>
  <si>
    <t>28094103</t>
  </si>
  <si>
    <t>28094107</t>
  </si>
  <si>
    <t>28094132</t>
  </si>
  <si>
    <t>28094251</t>
  </si>
  <si>
    <t>28094314</t>
  </si>
  <si>
    <t>28094318</t>
  </si>
  <si>
    <t>28094322</t>
  </si>
  <si>
    <t>28094326</t>
  </si>
  <si>
    <t>28094362</t>
  </si>
  <si>
    <t>28094476</t>
  </si>
  <si>
    <t>28094480</t>
  </si>
  <si>
    <t>28094484</t>
  </si>
  <si>
    <t>28094488</t>
  </si>
  <si>
    <t>28094518</t>
  </si>
  <si>
    <t>28094547</t>
  </si>
  <si>
    <t>28094551</t>
  </si>
  <si>
    <t>28094555</t>
  </si>
  <si>
    <t>28094559</t>
  </si>
  <si>
    <t>28094606</t>
  </si>
  <si>
    <t>28094627</t>
  </si>
  <si>
    <t>28094631</t>
  </si>
  <si>
    <t>28094635</t>
  </si>
  <si>
    <t>28094639</t>
  </si>
  <si>
    <t>28094726</t>
  </si>
  <si>
    <t>28094730</t>
  </si>
  <si>
    <t>28094734</t>
  </si>
  <si>
    <t>28094738</t>
  </si>
  <si>
    <t>28094873</t>
  </si>
  <si>
    <t>28094913</t>
  </si>
  <si>
    <t>28094917</t>
  </si>
  <si>
    <t>28094921</t>
  </si>
  <si>
    <t>28094925</t>
  </si>
  <si>
    <t>28095063</t>
  </si>
  <si>
    <t>28095195</t>
  </si>
  <si>
    <t>28125129</t>
  </si>
  <si>
    <t>28116155</t>
  </si>
  <si>
    <t>28116165</t>
  </si>
  <si>
    <t>28116175</t>
  </si>
  <si>
    <t>28116183</t>
  </si>
  <si>
    <t>28115214</t>
  </si>
  <si>
    <t>28115228</t>
  </si>
  <si>
    <t>28115239</t>
  </si>
  <si>
    <t>28115276</t>
  </si>
  <si>
    <t>28115416</t>
  </si>
  <si>
    <t>28115426</t>
  </si>
  <si>
    <t>28115436</t>
  </si>
  <si>
    <t>28115444</t>
  </si>
  <si>
    <t>28115643</t>
  </si>
  <si>
    <t>28115653</t>
  </si>
  <si>
    <t>28115663</t>
  </si>
  <si>
    <t>28115671</t>
  </si>
  <si>
    <t>28115807</t>
  </si>
  <si>
    <t>28115817</t>
  </si>
  <si>
    <t>28115827</t>
  </si>
  <si>
    <t>28115835</t>
  </si>
  <si>
    <t>28115989</t>
  </si>
  <si>
    <t>28115999</t>
  </si>
  <si>
    <t>28116009</t>
  </si>
  <si>
    <t>28116017</t>
  </si>
  <si>
    <t>28027723</t>
  </si>
  <si>
    <t>28027821</t>
  </si>
  <si>
    <t>27962308</t>
  </si>
  <si>
    <t>28090739</t>
  </si>
  <si>
    <t>28091101</t>
  </si>
  <si>
    <t>28091697</t>
  </si>
  <si>
    <t>28091701</t>
  </si>
  <si>
    <t>28092209</t>
  </si>
  <si>
    <t>28092213</t>
  </si>
  <si>
    <t>28092426</t>
  </si>
  <si>
    <t>28092430</t>
  </si>
  <si>
    <t>28092979</t>
  </si>
  <si>
    <t>28093038</t>
  </si>
  <si>
    <t>28093170</t>
  </si>
  <si>
    <t>28093287</t>
  </si>
  <si>
    <t>28093411</t>
  </si>
  <si>
    <t>28093427</t>
  </si>
  <si>
    <t>28093523</t>
  </si>
  <si>
    <t>28093539</t>
  </si>
  <si>
    <t>28093561</t>
  </si>
  <si>
    <t>28093577</t>
  </si>
  <si>
    <t>28093690</t>
  </si>
  <si>
    <t>28093796</t>
  </si>
  <si>
    <t>28093890</t>
  </si>
  <si>
    <t>28093894</t>
  </si>
  <si>
    <t>28094093</t>
  </si>
  <si>
    <t>28094316</t>
  </si>
  <si>
    <t>28094478</t>
  </si>
  <si>
    <t>28094549</t>
  </si>
  <si>
    <t>28094629</t>
  </si>
  <si>
    <t>28094728</t>
  </si>
  <si>
    <t>28094915</t>
  </si>
  <si>
    <t>27959404</t>
  </si>
  <si>
    <t>27959426</t>
  </si>
  <si>
    <t>27961632</t>
  </si>
  <si>
    <t>27961655</t>
  </si>
  <si>
    <t>27973967</t>
  </si>
  <si>
    <t>27974100</t>
  </si>
  <si>
    <t>27974415</t>
  </si>
  <si>
    <t>27974520</t>
  </si>
  <si>
    <t>27974730</t>
  </si>
  <si>
    <t>27974835</t>
  </si>
  <si>
    <t>28114833</t>
  </si>
  <si>
    <t>28114926</t>
  </si>
  <si>
    <t>28098536</t>
  </si>
  <si>
    <t>28055749</t>
  </si>
  <si>
    <t>28055924</t>
  </si>
  <si>
    <t>28055964</t>
  </si>
  <si>
    <t>28056003</t>
  </si>
  <si>
    <t>28056042</t>
  </si>
  <si>
    <t>28056161</t>
  </si>
  <si>
    <t>28057793</t>
  </si>
  <si>
    <t>28059336</t>
  </si>
  <si>
    <t>28059874</t>
  </si>
  <si>
    <t>28060281</t>
  </si>
  <si>
    <t>28115111</t>
  </si>
  <si>
    <t>28115125</t>
  </si>
  <si>
    <t>28085089</t>
  </si>
  <si>
    <t>28233175</t>
  </si>
  <si>
    <t>28057447</t>
  </si>
  <si>
    <t>28057998</t>
  </si>
  <si>
    <t>28027819</t>
  </si>
  <si>
    <t>28116597</t>
  </si>
  <si>
    <t>28138936</t>
  </si>
  <si>
    <t>28137483</t>
  </si>
  <si>
    <t>28137555</t>
  </si>
  <si>
    <t>28119051</t>
  </si>
  <si>
    <t>28121429</t>
  </si>
  <si>
    <t>28138161</t>
  </si>
  <si>
    <t>27996745</t>
  </si>
  <si>
    <t>28220384</t>
  </si>
  <si>
    <t>27988099</t>
  </si>
  <si>
    <t>27988202</t>
  </si>
  <si>
    <t>27989555</t>
  </si>
  <si>
    <t>27990355</t>
  </si>
  <si>
    <t>27991164</t>
  </si>
  <si>
    <t>27992233</t>
  </si>
  <si>
    <t>27992284</t>
  </si>
  <si>
    <t>27993932</t>
  </si>
  <si>
    <t>28110424</t>
  </si>
  <si>
    <t>28111998</t>
  </si>
  <si>
    <t>28112266</t>
  </si>
  <si>
    <t>28070487</t>
  </si>
  <si>
    <t>28219518</t>
  </si>
  <si>
    <t>27958957</t>
  </si>
  <si>
    <t>27959237</t>
  </si>
  <si>
    <t>27959396</t>
  </si>
  <si>
    <t>27959418</t>
  </si>
  <si>
    <t>27960758</t>
  </si>
  <si>
    <t>27961385</t>
  </si>
  <si>
    <t>27961413</t>
  </si>
  <si>
    <t>27961624</t>
  </si>
  <si>
    <t>27961839</t>
  </si>
  <si>
    <t>27962614</t>
  </si>
  <si>
    <t>27965196</t>
  </si>
  <si>
    <t>27971328</t>
  </si>
  <si>
    <t>28220580</t>
  </si>
  <si>
    <t>27983321</t>
  </si>
  <si>
    <t>27973461</t>
  </si>
  <si>
    <t>27973585</t>
  </si>
  <si>
    <t>27973961</t>
  </si>
  <si>
    <t>27973969</t>
  </si>
  <si>
    <t>27974024</t>
  </si>
  <si>
    <t>27974036</t>
  </si>
  <si>
    <t>27974094</t>
  </si>
  <si>
    <t>27974102</t>
  </si>
  <si>
    <t>27974156</t>
  </si>
  <si>
    <t>27974168</t>
  </si>
  <si>
    <t>27974409</t>
  </si>
  <si>
    <t>27974417</t>
  </si>
  <si>
    <t>27974471</t>
  </si>
  <si>
    <t>27974483</t>
  </si>
  <si>
    <t>27974514</t>
  </si>
  <si>
    <t>27974522</t>
  </si>
  <si>
    <t>27974576</t>
  </si>
  <si>
    <t>27974588</t>
  </si>
  <si>
    <t>27974619</t>
  </si>
  <si>
    <t>27974693</t>
  </si>
  <si>
    <t>27974724</t>
  </si>
  <si>
    <t>27974732</t>
  </si>
  <si>
    <t>27974798</t>
  </si>
  <si>
    <t>27974829</t>
  </si>
  <si>
    <t>27974837</t>
  </si>
  <si>
    <t>27974891</t>
  </si>
  <si>
    <t>27974903</t>
  </si>
  <si>
    <t>28144634</t>
  </si>
  <si>
    <t>28306602</t>
  </si>
  <si>
    <t>27976817</t>
  </si>
  <si>
    <t>27978583</t>
  </si>
  <si>
    <t>27978795</t>
  </si>
  <si>
    <t>27978843</t>
  </si>
  <si>
    <t>27979597</t>
  </si>
  <si>
    <t>27979946</t>
  </si>
  <si>
    <t>28055791</t>
  </si>
  <si>
    <t>28055926</t>
  </si>
  <si>
    <t>28055966</t>
  </si>
  <si>
    <t>28056005</t>
  </si>
  <si>
    <t>28056044</t>
  </si>
  <si>
    <t>28059123</t>
  </si>
  <si>
    <t>28059538</t>
  </si>
  <si>
    <t>27980832</t>
  </si>
  <si>
    <t>28199271</t>
  </si>
  <si>
    <t>28114827</t>
  </si>
  <si>
    <t>28114835</t>
  </si>
  <si>
    <t>28114889</t>
  </si>
  <si>
    <t>28114901</t>
  </si>
  <si>
    <t>28114920</t>
  </si>
  <si>
    <t>28114928</t>
  </si>
  <si>
    <t>28114981</t>
  </si>
  <si>
    <t>28114993</t>
  </si>
  <si>
    <t>28115035</t>
  </si>
  <si>
    <t>28115067</t>
  </si>
  <si>
    <t>28022525</t>
  </si>
  <si>
    <t>28023140</t>
  </si>
  <si>
    <t>28023844</t>
  </si>
  <si>
    <t>28024169</t>
  </si>
  <si>
    <t>27985391</t>
  </si>
  <si>
    <t>27979546</t>
  </si>
  <si>
    <t>27979560</t>
  </si>
  <si>
    <t>28095198</t>
  </si>
  <si>
    <t>27959986</t>
  </si>
  <si>
    <t>27960863</t>
  </si>
  <si>
    <t>27963016</t>
  </si>
  <si>
    <t>27963794</t>
  </si>
  <si>
    <t>27966252</t>
  </si>
  <si>
    <t>27967448</t>
  </si>
  <si>
    <t>27968472</t>
  </si>
  <si>
    <t>27968756</t>
  </si>
  <si>
    <t>27969033</t>
  </si>
  <si>
    <t>27981375</t>
  </si>
  <si>
    <t>27982964</t>
  </si>
  <si>
    <t>27971914</t>
  </si>
  <si>
    <t>27972125</t>
  </si>
  <si>
    <t>27973976</t>
  </si>
  <si>
    <t>27973984</t>
  </si>
  <si>
    <t>27974109</t>
  </si>
  <si>
    <t>27974116</t>
  </si>
  <si>
    <t>27974424</t>
  </si>
  <si>
    <t>27974431</t>
  </si>
  <si>
    <t>27974529</t>
  </si>
  <si>
    <t>27974536</t>
  </si>
  <si>
    <t>27974634</t>
  </si>
  <si>
    <t>27974641</t>
  </si>
  <si>
    <t>27974739</t>
  </si>
  <si>
    <t>27974844</t>
  </si>
  <si>
    <t>27974851</t>
  </si>
  <si>
    <t>27977394</t>
  </si>
  <si>
    <t>27978802</t>
  </si>
  <si>
    <t>27980037</t>
  </si>
  <si>
    <t>28303212</t>
  </si>
  <si>
    <t>28114842</t>
  </si>
  <si>
    <t>28114849</t>
  </si>
  <si>
    <t>28114935</t>
  </si>
  <si>
    <t>28114942</t>
  </si>
  <si>
    <t>28079216</t>
  </si>
  <si>
    <t>28022163</t>
  </si>
  <si>
    <t>28022715</t>
  </si>
  <si>
    <t>28023252</t>
  </si>
  <si>
    <t>28023262</t>
  </si>
  <si>
    <t>27982203</t>
  </si>
  <si>
    <t>27985317</t>
  </si>
  <si>
    <t>27987221</t>
  </si>
  <si>
    <t>28217513</t>
  </si>
  <si>
    <t>27986213</t>
  </si>
  <si>
    <t>27987182</t>
  </si>
  <si>
    <t>28056677</t>
  </si>
  <si>
    <t>28056937</t>
  </si>
  <si>
    <t>28098478</t>
  </si>
  <si>
    <t>28057615</t>
  </si>
  <si>
    <t>28059778</t>
  </si>
  <si>
    <t>28060063</t>
  </si>
  <si>
    <t>28091156</t>
  </si>
  <si>
    <t>28091241</t>
  </si>
  <si>
    <t>28091705</t>
  </si>
  <si>
    <t>28091715</t>
  </si>
  <si>
    <t>28092217</t>
  </si>
  <si>
    <t>28092227</t>
  </si>
  <si>
    <t>28092434</t>
  </si>
  <si>
    <t>28092444</t>
  </si>
  <si>
    <t>28092983</t>
  </si>
  <si>
    <t>28093042</t>
  </si>
  <si>
    <t>28093291</t>
  </si>
  <si>
    <t>28093415</t>
  </si>
  <si>
    <t>28093431</t>
  </si>
  <si>
    <t>28093527</t>
  </si>
  <si>
    <t>28093543</t>
  </si>
  <si>
    <t>28093565</t>
  </si>
  <si>
    <t>28093581</t>
  </si>
  <si>
    <t>28093694</t>
  </si>
  <si>
    <t>28093800</t>
  </si>
  <si>
    <t>28093898</t>
  </si>
  <si>
    <t>28093908</t>
  </si>
  <si>
    <t>28094097</t>
  </si>
  <si>
    <t>28094320</t>
  </si>
  <si>
    <t>28094482</t>
  </si>
  <si>
    <t>28094633</t>
  </si>
  <si>
    <t>28094732</t>
  </si>
  <si>
    <t>28125490</t>
  </si>
  <si>
    <t>28107709</t>
  </si>
  <si>
    <t>28107798</t>
  </si>
  <si>
    <t>28107079</t>
  </si>
  <si>
    <t>28091449</t>
  </si>
  <si>
    <t>28091727</t>
  </si>
  <si>
    <t>28091798</t>
  </si>
  <si>
    <t>28092239</t>
  </si>
  <si>
    <t>28092507</t>
  </si>
  <si>
    <t>28093137</t>
  </si>
  <si>
    <t>28093345</t>
  </si>
  <si>
    <t>28093439</t>
  </si>
  <si>
    <t>28093484</t>
  </si>
  <si>
    <t>28093551</t>
  </si>
  <si>
    <t>28093589</t>
  </si>
  <si>
    <t>28093597</t>
  </si>
  <si>
    <t>28093864</t>
  </si>
  <si>
    <t>28093922</t>
  </si>
  <si>
    <t>28094276</t>
  </si>
  <si>
    <t>28094388</t>
  </si>
  <si>
    <t>28094517</t>
  </si>
  <si>
    <t>28094605</t>
  </si>
  <si>
    <t>28094664</t>
  </si>
  <si>
    <t>28094872</t>
  </si>
  <si>
    <t>28095194</t>
  </si>
  <si>
    <t>28027155</t>
  </si>
  <si>
    <t>27960539</t>
  </si>
  <si>
    <t>27965137</t>
  </si>
  <si>
    <t>27969631</t>
  </si>
  <si>
    <t>27969703</t>
  </si>
  <si>
    <t>28098435</t>
  </si>
  <si>
    <t>28098480</t>
  </si>
  <si>
    <t>28098492</t>
  </si>
  <si>
    <t>28098502</t>
  </si>
  <si>
    <t>28098512</t>
  </si>
  <si>
    <t>28049407</t>
  </si>
  <si>
    <t>28055677</t>
  </si>
  <si>
    <t>28055711</t>
  </si>
  <si>
    <t>28055908</t>
  </si>
  <si>
    <t>28055918</t>
  </si>
  <si>
    <t>28055948</t>
  </si>
  <si>
    <t>28055958</t>
  </si>
  <si>
    <t>28055987</t>
  </si>
  <si>
    <t>28055997</t>
  </si>
  <si>
    <t>28056026</t>
  </si>
  <si>
    <t>28056036</t>
  </si>
  <si>
    <t>28056145</t>
  </si>
  <si>
    <t>28056155</t>
  </si>
  <si>
    <t>28057621</t>
  </si>
  <si>
    <t>28057713</t>
  </si>
  <si>
    <t>28057735</t>
  </si>
  <si>
    <t>28059492</t>
  </si>
  <si>
    <t>28059503</t>
  </si>
  <si>
    <t>28059642</t>
  </si>
  <si>
    <t>28059652</t>
  </si>
  <si>
    <t>27980818</t>
  </si>
  <si>
    <t>28059784</t>
  </si>
  <si>
    <t>28060069</t>
  </si>
  <si>
    <t>28060183</t>
  </si>
  <si>
    <t>28060227</t>
  </si>
  <si>
    <t>28060265</t>
  </si>
  <si>
    <t>28115019</t>
  </si>
  <si>
    <t>28115029</t>
  </si>
  <si>
    <t>28115051</t>
  </si>
  <si>
    <t>28115061</t>
  </si>
  <si>
    <t>28079860</t>
  </si>
  <si>
    <t>28079968</t>
  </si>
  <si>
    <t>28024155</t>
  </si>
  <si>
    <t>27981946</t>
  </si>
  <si>
    <t>27982785</t>
  </si>
  <si>
    <t>28228277</t>
  </si>
  <si>
    <t>27986287</t>
  </si>
  <si>
    <t>27987174</t>
  </si>
  <si>
    <t>28085039</t>
  </si>
  <si>
    <t>28085077</t>
  </si>
  <si>
    <t>28057391</t>
  </si>
  <si>
    <t>28057949</t>
  </si>
  <si>
    <t>28057984</t>
  </si>
  <si>
    <t>28236260</t>
  </si>
  <si>
    <t>27959560</t>
  </si>
  <si>
    <t>27959700</t>
  </si>
  <si>
    <t>27959756</t>
  </si>
  <si>
    <t>27959758</t>
  </si>
  <si>
    <t>27960401</t>
  </si>
  <si>
    <t>27960474</t>
  </si>
  <si>
    <t>27960785</t>
  </si>
  <si>
    <t>27960787</t>
  </si>
  <si>
    <t>27960980</t>
  </si>
  <si>
    <t>27961077</t>
  </si>
  <si>
    <t>27961079</t>
  </si>
  <si>
    <t>27961093</t>
  </si>
  <si>
    <t>27962826</t>
  </si>
  <si>
    <t>27963193</t>
  </si>
  <si>
    <t>27964294</t>
  </si>
  <si>
    <t>27964320</t>
  </si>
  <si>
    <t>27965672</t>
  </si>
  <si>
    <t>27966407</t>
  </si>
  <si>
    <t>27966415</t>
  </si>
  <si>
    <t>27966728</t>
  </si>
  <si>
    <t>27966771</t>
  </si>
  <si>
    <t>27966779</t>
  </si>
  <si>
    <t>27966834</t>
  </si>
  <si>
    <t>27967451</t>
  </si>
  <si>
    <t>27967628</t>
  </si>
  <si>
    <t>27967644</t>
  </si>
  <si>
    <t>27968474</t>
  </si>
  <si>
    <t>27968483</t>
  </si>
  <si>
    <t>27968589</t>
  </si>
  <si>
    <t>27968758</t>
  </si>
  <si>
    <t>27968766</t>
  </si>
  <si>
    <t>27968952</t>
  </si>
  <si>
    <t>27968979</t>
  </si>
  <si>
    <t>27969035</t>
  </si>
  <si>
    <t>27969043</t>
  </si>
  <si>
    <t>28021527</t>
  </si>
  <si>
    <t>28021553</t>
  </si>
  <si>
    <t>27981462</t>
  </si>
  <si>
    <t>27981470</t>
  </si>
  <si>
    <t>27982939</t>
  </si>
  <si>
    <t>27982947</t>
  </si>
  <si>
    <t>27983175</t>
  </si>
  <si>
    <t>27983201</t>
  </si>
  <si>
    <t>27972127</t>
  </si>
  <si>
    <t>27972414</t>
  </si>
  <si>
    <t>27972422</t>
  </si>
  <si>
    <t>27973986</t>
  </si>
  <si>
    <t>27974000</t>
  </si>
  <si>
    <t>27974002</t>
  </si>
  <si>
    <t>27974118</t>
  </si>
  <si>
    <t>27974132</t>
  </si>
  <si>
    <t>27974134</t>
  </si>
  <si>
    <t>27974433</t>
  </si>
  <si>
    <t>27974447</t>
  </si>
  <si>
    <t>27974449</t>
  </si>
  <si>
    <t>27974538</t>
  </si>
  <si>
    <t>27974552</t>
  </si>
  <si>
    <t>27974554</t>
  </si>
  <si>
    <t>27974643</t>
  </si>
  <si>
    <t>27974657</t>
  </si>
  <si>
    <t>27974659</t>
  </si>
  <si>
    <t>27974853</t>
  </si>
  <si>
    <t>27974867</t>
  </si>
  <si>
    <t>27974869</t>
  </si>
  <si>
    <t>27977504</t>
  </si>
  <si>
    <t>27977518</t>
  </si>
  <si>
    <t>27977562</t>
  </si>
  <si>
    <t>27978805</t>
  </si>
  <si>
    <t>27978819</t>
  </si>
  <si>
    <t>27978821</t>
  </si>
  <si>
    <t>27980077</t>
  </si>
  <si>
    <t>27980091</t>
  </si>
  <si>
    <t>27980145</t>
  </si>
  <si>
    <t>27980176</t>
  </si>
  <si>
    <t>28019095</t>
  </si>
  <si>
    <t>28019451</t>
  </si>
  <si>
    <t>28019491</t>
  </si>
  <si>
    <t>28303226</t>
  </si>
  <si>
    <t>28303228</t>
  </si>
  <si>
    <t>28020985</t>
  </si>
  <si>
    <t>28021028</t>
  </si>
  <si>
    <t>28021293</t>
  </si>
  <si>
    <t>28021307</t>
  </si>
  <si>
    <t>28114851</t>
  </si>
  <si>
    <t>28114865</t>
  </si>
  <si>
    <t>28114867</t>
  </si>
  <si>
    <t>28114943</t>
  </si>
  <si>
    <t>28114957</t>
  </si>
  <si>
    <t>28114959</t>
  </si>
  <si>
    <t>28079232</t>
  </si>
  <si>
    <t>28079254</t>
  </si>
  <si>
    <t>28079262</t>
  </si>
  <si>
    <t>28079412</t>
  </si>
  <si>
    <t>28021989</t>
  </si>
  <si>
    <t>28022005</t>
  </si>
  <si>
    <t>27981776</t>
  </si>
  <si>
    <t>27981805</t>
  </si>
  <si>
    <t>27981984</t>
  </si>
  <si>
    <t>27981992</t>
  </si>
  <si>
    <t>27982000</t>
  </si>
  <si>
    <t>27985197</t>
  </si>
  <si>
    <t>27985205</t>
  </si>
  <si>
    <t>27985213</t>
  </si>
  <si>
    <t>27985306</t>
  </si>
  <si>
    <t>27985314</t>
  </si>
  <si>
    <t>27985326</t>
  </si>
  <si>
    <t>27985334</t>
  </si>
  <si>
    <t>27987210</t>
  </si>
  <si>
    <t>27987218</t>
  </si>
  <si>
    <t>27987228</t>
  </si>
  <si>
    <t>27987236</t>
  </si>
  <si>
    <t>28217894</t>
  </si>
  <si>
    <t>27960085</t>
  </si>
  <si>
    <t>27960508</t>
  </si>
  <si>
    <t>27960547</t>
  </si>
  <si>
    <t>27961260</t>
  </si>
  <si>
    <t>27961815</t>
  </si>
  <si>
    <t>27964583</t>
  </si>
  <si>
    <t>27965120</t>
  </si>
  <si>
    <t>27965134</t>
  </si>
  <si>
    <t>27966878</t>
  </si>
  <si>
    <t>27966886</t>
  </si>
  <si>
    <t>27966902</t>
  </si>
  <si>
    <t>27967714</t>
  </si>
  <si>
    <t>27968663</t>
  </si>
  <si>
    <t>27968671</t>
  </si>
  <si>
    <t>27968688</t>
  </si>
  <si>
    <t>27969508</t>
  </si>
  <si>
    <t>27969600</t>
  </si>
  <si>
    <t>27969626</t>
  </si>
  <si>
    <t>28098476</t>
  </si>
  <si>
    <t>28098488</t>
  </si>
  <si>
    <t>28098498</t>
  </si>
  <si>
    <t>28098508</t>
  </si>
  <si>
    <t>27981409</t>
  </si>
  <si>
    <t>27983239</t>
  </si>
  <si>
    <t>27983247</t>
  </si>
  <si>
    <t>27983263</t>
  </si>
  <si>
    <t>27972028</t>
  </si>
  <si>
    <t>27972041</t>
  </si>
  <si>
    <t>27972464</t>
  </si>
  <si>
    <t>27972472</t>
  </si>
  <si>
    <t>27973979</t>
  </si>
  <si>
    <t>27973981</t>
  </si>
  <si>
    <t>27974010</t>
  </si>
  <si>
    <t>27974012</t>
  </si>
  <si>
    <t>27974111</t>
  </si>
  <si>
    <t>27974113</t>
  </si>
  <si>
    <t>27974142</t>
  </si>
  <si>
    <t>27974144</t>
  </si>
  <si>
    <t>27974426</t>
  </si>
  <si>
    <t>27974428</t>
  </si>
  <si>
    <t>27974457</t>
  </si>
  <si>
    <t>27974459</t>
  </si>
  <si>
    <t>27974531</t>
  </si>
  <si>
    <t>27974533</t>
  </si>
  <si>
    <t>27974562</t>
  </si>
  <si>
    <t>27974564</t>
  </si>
  <si>
    <t>27974636</t>
  </si>
  <si>
    <t>27974638</t>
  </si>
  <si>
    <t>27974667</t>
  </si>
  <si>
    <t>27974669</t>
  </si>
  <si>
    <t>27974741</t>
  </si>
  <si>
    <t>27974743</t>
  </si>
  <si>
    <t>27974846</t>
  </si>
  <si>
    <t>27974848</t>
  </si>
  <si>
    <t>27974877</t>
  </si>
  <si>
    <t>27974879</t>
  </si>
  <si>
    <t>27977704</t>
  </si>
  <si>
    <t>27977770</t>
  </si>
  <si>
    <t>27978829</t>
  </si>
  <si>
    <t>27978831</t>
  </si>
  <si>
    <t>27980280</t>
  </si>
  <si>
    <t>27980288</t>
  </si>
  <si>
    <t>28055576</t>
  </si>
  <si>
    <t>28055602</t>
  </si>
  <si>
    <t>28055694</t>
  </si>
  <si>
    <t>28055898</t>
  </si>
  <si>
    <t>28055904</t>
  </si>
  <si>
    <t>28055914</t>
  </si>
  <si>
    <t>28055938</t>
  </si>
  <si>
    <t>28055944</t>
  </si>
  <si>
    <t>28055954</t>
  </si>
  <si>
    <t>28055977</t>
  </si>
  <si>
    <t>28055983</t>
  </si>
  <si>
    <t>28055993</t>
  </si>
  <si>
    <t>28056016</t>
  </si>
  <si>
    <t>28056022</t>
  </si>
  <si>
    <t>28056032</t>
  </si>
  <si>
    <t>28056135</t>
  </si>
  <si>
    <t>28056141</t>
  </si>
  <si>
    <t>28056151</t>
  </si>
  <si>
    <t>28057595</t>
  </si>
  <si>
    <t>28057616</t>
  </si>
  <si>
    <t>28057629</t>
  </si>
  <si>
    <t>28057730</t>
  </si>
  <si>
    <t>28059106</t>
  </si>
  <si>
    <t>28059115</t>
  </si>
  <si>
    <t>28059308</t>
  </si>
  <si>
    <t>28059532</t>
  </si>
  <si>
    <t>28059534</t>
  </si>
  <si>
    <t>28059546</t>
  </si>
  <si>
    <t>28059765</t>
  </si>
  <si>
    <t>28059776</t>
  </si>
  <si>
    <t>28059779</t>
  </si>
  <si>
    <t>28059830</t>
  </si>
  <si>
    <t>28060055</t>
  </si>
  <si>
    <t>28060064</t>
  </si>
  <si>
    <t>28060077</t>
  </si>
  <si>
    <t>28060192</t>
  </si>
  <si>
    <t>28060260</t>
  </si>
  <si>
    <t>28303236</t>
  </si>
  <si>
    <t>28303338</t>
  </si>
  <si>
    <t>28114844</t>
  </si>
  <si>
    <t>28114846</t>
  </si>
  <si>
    <t>28114875</t>
  </si>
  <si>
    <t>28114877</t>
  </si>
  <si>
    <t>28114937</t>
  </si>
  <si>
    <t>28114939</t>
  </si>
  <si>
    <t>28114967</t>
  </si>
  <si>
    <t>28114969</t>
  </si>
  <si>
    <t>28115007</t>
  </si>
  <si>
    <t>28115015</t>
  </si>
  <si>
    <t>28115025</t>
  </si>
  <si>
    <t>28115041</t>
  </si>
  <si>
    <t>28115047</t>
  </si>
  <si>
    <t>28115057</t>
  </si>
  <si>
    <t>28079493</t>
  </si>
  <si>
    <t>28079509</t>
  </si>
  <si>
    <t>28079542</t>
  </si>
  <si>
    <t>28022212</t>
  </si>
  <si>
    <t>28022223</t>
  </si>
  <si>
    <t>28022718</t>
  </si>
  <si>
    <t>28022747</t>
  </si>
  <si>
    <t>28023255</t>
  </si>
  <si>
    <t>28023264</t>
  </si>
  <si>
    <t>28023303</t>
  </si>
  <si>
    <t>28023372</t>
  </si>
  <si>
    <t>27981914</t>
  </si>
  <si>
    <t>27982386</t>
  </si>
  <si>
    <t>27982394</t>
  </si>
  <si>
    <t>27985342</t>
  </si>
  <si>
    <t>27985344</t>
  </si>
  <si>
    <t>27985354</t>
  </si>
  <si>
    <t>27987244</t>
  </si>
  <si>
    <t>28218169</t>
  </si>
  <si>
    <t>27959702</t>
  </si>
  <si>
    <t>27959760</t>
  </si>
  <si>
    <t>27960392</t>
  </si>
  <si>
    <t>27960465</t>
  </si>
  <si>
    <t>27960789</t>
  </si>
  <si>
    <t>27960965</t>
  </si>
  <si>
    <t>27961081</t>
  </si>
  <si>
    <t>27961087</t>
  </si>
  <si>
    <t>27962828</t>
  </si>
  <si>
    <t>27964285</t>
  </si>
  <si>
    <t>27965735</t>
  </si>
  <si>
    <t>27966409</t>
  </si>
  <si>
    <t>27966660</t>
  </si>
  <si>
    <t>27966773</t>
  </si>
  <si>
    <t>27966815</t>
  </si>
  <si>
    <t>27967453</t>
  </si>
  <si>
    <t>27968476</t>
  </si>
  <si>
    <t>27968485</t>
  </si>
  <si>
    <t>27968760</t>
  </si>
  <si>
    <t>27969037</t>
  </si>
  <si>
    <t>27969322</t>
  </si>
  <si>
    <t>28021545</t>
  </si>
  <si>
    <t>28021561</t>
  </si>
  <si>
    <t>27981464</t>
  </si>
  <si>
    <t>27982941</t>
  </si>
  <si>
    <t>27983082</t>
  </si>
  <si>
    <t>27972129</t>
  </si>
  <si>
    <t>27972395</t>
  </si>
  <si>
    <t>27973988</t>
  </si>
  <si>
    <t>27973994</t>
  </si>
  <si>
    <t>27974120</t>
  </si>
  <si>
    <t>27974126</t>
  </si>
  <si>
    <t>27974435</t>
  </si>
  <si>
    <t>27974441</t>
  </si>
  <si>
    <t>27974540</t>
  </si>
  <si>
    <t>27974546</t>
  </si>
  <si>
    <t>27974645</t>
  </si>
  <si>
    <t>27974651</t>
  </si>
  <si>
    <t>27974855</t>
  </si>
  <si>
    <t>27974861</t>
  </si>
  <si>
    <t>27977506</t>
  </si>
  <si>
    <t>27977512</t>
  </si>
  <si>
    <t>27978807</t>
  </si>
  <si>
    <t>27978813</t>
  </si>
  <si>
    <t>27980079</t>
  </si>
  <si>
    <t>27980136</t>
  </si>
  <si>
    <t>28019679</t>
  </si>
  <si>
    <t>28303214</t>
  </si>
  <si>
    <t>28303220</t>
  </si>
  <si>
    <t>28021016</t>
  </si>
  <si>
    <t>28021036</t>
  </si>
  <si>
    <t>28021299</t>
  </si>
  <si>
    <t>28021484</t>
  </si>
  <si>
    <t>28021490</t>
  </si>
  <si>
    <t>28114853</t>
  </si>
  <si>
    <t>28114859</t>
  </si>
  <si>
    <t>28114945</t>
  </si>
  <si>
    <t>28114951</t>
  </si>
  <si>
    <t>28079256</t>
  </si>
  <si>
    <t>28079264</t>
  </si>
  <si>
    <t>28021997</t>
  </si>
  <si>
    <t>28022129</t>
  </si>
  <si>
    <t>28022135</t>
  </si>
  <si>
    <t>27981986</t>
  </si>
  <si>
    <t>27981994</t>
  </si>
  <si>
    <t>27985199</t>
  </si>
  <si>
    <t>27985207</t>
  </si>
  <si>
    <t>27985308</t>
  </si>
  <si>
    <t>27985320</t>
  </si>
  <si>
    <t>27987212</t>
  </si>
  <si>
    <t>27987222</t>
  </si>
  <si>
    <t>28217695</t>
  </si>
  <si>
    <t>28098490</t>
  </si>
  <si>
    <t>28098500</t>
  </si>
  <si>
    <t>28098510</t>
  </si>
  <si>
    <t>28055675</t>
  </si>
  <si>
    <t>28055709</t>
  </si>
  <si>
    <t>28055906</t>
  </si>
  <si>
    <t>28055916</t>
  </si>
  <si>
    <t>28055946</t>
  </si>
  <si>
    <t>28055956</t>
  </si>
  <si>
    <t>28055985</t>
  </si>
  <si>
    <t>28055995</t>
  </si>
  <si>
    <t>28056024</t>
  </si>
  <si>
    <t>28056034</t>
  </si>
  <si>
    <t>28056143</t>
  </si>
  <si>
    <t>28056153</t>
  </si>
  <si>
    <t>28057710</t>
  </si>
  <si>
    <t>28057733</t>
  </si>
  <si>
    <t>28059489</t>
  </si>
  <si>
    <t>28059500</t>
  </si>
  <si>
    <t>28059639</t>
  </si>
  <si>
    <t>28059650</t>
  </si>
  <si>
    <t>28059792</t>
  </si>
  <si>
    <t>28060181</t>
  </si>
  <si>
    <t>28060200</t>
  </si>
  <si>
    <t>28060263</t>
  </si>
  <si>
    <t>28115017</t>
  </si>
  <si>
    <t>28115027</t>
  </si>
  <si>
    <t>28115049</t>
  </si>
  <si>
    <t>28115059</t>
  </si>
  <si>
    <t>28228274</t>
  </si>
  <si>
    <t>28085037</t>
  </si>
  <si>
    <t>28057363</t>
  </si>
  <si>
    <t>28057385</t>
  </si>
  <si>
    <t>28057978</t>
  </si>
  <si>
    <t>28236258</t>
  </si>
  <si>
    <t>27958955</t>
  </si>
  <si>
    <t>27959235</t>
  </si>
  <si>
    <t>27961383</t>
  </si>
  <si>
    <t>27961411</t>
  </si>
  <si>
    <t>27962612</t>
  </si>
  <si>
    <t>27971326</t>
  </si>
  <si>
    <t>27973959</t>
  </si>
  <si>
    <t>27974092</t>
  </si>
  <si>
    <t>27974407</t>
  </si>
  <si>
    <t>27974512</t>
  </si>
  <si>
    <t>27974617</t>
  </si>
  <si>
    <t>27974722</t>
  </si>
  <si>
    <t>27974827</t>
  </si>
  <si>
    <t>27976813</t>
  </si>
  <si>
    <t>27978793</t>
  </si>
  <si>
    <t>27979942</t>
  </si>
  <si>
    <t>28114825</t>
  </si>
  <si>
    <t>28114918</t>
  </si>
  <si>
    <t>28084868</t>
  </si>
  <si>
    <t>28084932</t>
  </si>
  <si>
    <t>28084974</t>
  </si>
  <si>
    <t>28085034</t>
  </si>
  <si>
    <t>28056669</t>
  </si>
  <si>
    <t>28056695</t>
  </si>
  <si>
    <t>28056825</t>
  </si>
  <si>
    <t>28056911</t>
  </si>
  <si>
    <t>28056950</t>
  </si>
  <si>
    <t>28057382</t>
  </si>
  <si>
    <t>28057917</t>
  </si>
  <si>
    <t>28057925</t>
  </si>
  <si>
    <t>28057975</t>
  </si>
  <si>
    <t>27958803</t>
  </si>
  <si>
    <t>27958811</t>
  </si>
  <si>
    <t>27959231</t>
  </si>
  <si>
    <t>27959233</t>
  </si>
  <si>
    <t>27959367</t>
  </si>
  <si>
    <t>27961379</t>
  </si>
  <si>
    <t>27961381</t>
  </si>
  <si>
    <t>27961407</t>
  </si>
  <si>
    <t>27961448</t>
  </si>
  <si>
    <t>27961485</t>
  </si>
  <si>
    <t>27961493</t>
  </si>
  <si>
    <t>27961621</t>
  </si>
  <si>
    <t>27961834</t>
  </si>
  <si>
    <t>27962608</t>
  </si>
  <si>
    <t>27962610</t>
  </si>
  <si>
    <t>27965193</t>
  </si>
  <si>
    <t>27966173</t>
  </si>
  <si>
    <t>27967740</t>
  </si>
  <si>
    <t>27971138</t>
  </si>
  <si>
    <t>27971146</t>
  </si>
  <si>
    <t>28238129</t>
  </si>
  <si>
    <t>27973419</t>
  </si>
  <si>
    <t>27973456</t>
  </si>
  <si>
    <t>27973582</t>
  </si>
  <si>
    <t>27973955</t>
  </si>
  <si>
    <t>27973957</t>
  </si>
  <si>
    <t>27974014</t>
  </si>
  <si>
    <t>27974021</t>
  </si>
  <si>
    <t>27974033</t>
  </si>
  <si>
    <t>27974088</t>
  </si>
  <si>
    <t>27974090</t>
  </si>
  <si>
    <t>27974146</t>
  </si>
  <si>
    <t>27974153</t>
  </si>
  <si>
    <t>27974165</t>
  </si>
  <si>
    <t>27974403</t>
  </si>
  <si>
    <t>27974405</t>
  </si>
  <si>
    <t>27974461</t>
  </si>
  <si>
    <t>27974468</t>
  </si>
  <si>
    <t>27974480</t>
  </si>
  <si>
    <t>27974508</t>
  </si>
  <si>
    <t>27974510</t>
  </si>
  <si>
    <t>27974566</t>
  </si>
  <si>
    <t>27974573</t>
  </si>
  <si>
    <t>27974585</t>
  </si>
  <si>
    <t>27974613</t>
  </si>
  <si>
    <t>27974615</t>
  </si>
  <si>
    <t>27974671</t>
  </si>
  <si>
    <t>27974678</t>
  </si>
  <si>
    <t>27974690</t>
  </si>
  <si>
    <t>27974718</t>
  </si>
  <si>
    <t>27974720</t>
  </si>
  <si>
    <t>27974776</t>
  </si>
  <si>
    <t>27974823</t>
  </si>
  <si>
    <t>27974825</t>
  </si>
  <si>
    <t>27974881</t>
  </si>
  <si>
    <t>27974888</t>
  </si>
  <si>
    <t>27974900</t>
  </si>
  <si>
    <t>27978440</t>
  </si>
  <si>
    <t>27978578</t>
  </si>
  <si>
    <t>27978791</t>
  </si>
  <si>
    <t>27978833</t>
  </si>
  <si>
    <t>27978840</t>
  </si>
  <si>
    <t>27979528</t>
  </si>
  <si>
    <t>27979554</t>
  </si>
  <si>
    <t>27979875</t>
  </si>
  <si>
    <t>28055585</t>
  </si>
  <si>
    <t>28056678</t>
  </si>
  <si>
    <t>28056938</t>
  </si>
  <si>
    <t>28059118</t>
  </si>
  <si>
    <t>28263380</t>
  </si>
  <si>
    <t>27980787</t>
  </si>
  <si>
    <t>27980827</t>
  </si>
  <si>
    <t>27976571</t>
  </si>
  <si>
    <t>28303660</t>
  </si>
  <si>
    <t>28303691</t>
  </si>
  <si>
    <t>28114821</t>
  </si>
  <si>
    <t>28114823</t>
  </si>
  <si>
    <t>28114879</t>
  </si>
  <si>
    <t>28114886</t>
  </si>
  <si>
    <t>28114898</t>
  </si>
  <si>
    <t>28114914</t>
  </si>
  <si>
    <t>28114916</t>
  </si>
  <si>
    <t>28114971</t>
  </si>
  <si>
    <t>28114978</t>
  </si>
  <si>
    <t>28114990</t>
  </si>
  <si>
    <t>28115010</t>
  </si>
  <si>
    <t>28022493</t>
  </si>
  <si>
    <t>28022522</t>
  </si>
  <si>
    <t>28023096</t>
  </si>
  <si>
    <t>28023135</t>
  </si>
  <si>
    <t>28023789</t>
  </si>
  <si>
    <t>28023839</t>
  </si>
  <si>
    <t>28024133</t>
  </si>
  <si>
    <t>28024164</t>
  </si>
  <si>
    <t>27982757</t>
  </si>
  <si>
    <t>27982794</t>
  </si>
  <si>
    <t>28189887</t>
  </si>
  <si>
    <t>27969982</t>
  </si>
  <si>
    <t>27971115</t>
  </si>
  <si>
    <t>27969995</t>
  </si>
  <si>
    <t>27970633</t>
  </si>
  <si>
    <t>28026411</t>
  </si>
  <si>
    <t>28027133</t>
  </si>
  <si>
    <t>27975418</t>
  </si>
  <si>
    <t>27975529</t>
  </si>
  <si>
    <t>27975559</t>
  </si>
  <si>
    <t>27975600</t>
  </si>
  <si>
    <t>27975645</t>
  </si>
  <si>
    <t>27975707</t>
  </si>
  <si>
    <t>27975753</t>
  </si>
  <si>
    <t>27991264</t>
  </si>
  <si>
    <t>27991302</t>
  </si>
  <si>
    <t>27991383</t>
  </si>
  <si>
    <t>27991415</t>
  </si>
  <si>
    <t>27981096</t>
  </si>
  <si>
    <t>27981107</t>
  </si>
  <si>
    <t>27987346</t>
  </si>
  <si>
    <t>28137411</t>
  </si>
  <si>
    <t>28138073</t>
  </si>
  <si>
    <t>28141054</t>
  </si>
  <si>
    <t>28142003</t>
  </si>
  <si>
    <t>28142413</t>
  </si>
  <si>
    <t>28118685</t>
  </si>
  <si>
    <t>28120660</t>
  </si>
  <si>
    <t>28120682</t>
  </si>
  <si>
    <t>28123459</t>
  </si>
  <si>
    <t>28123569</t>
  </si>
  <si>
    <t>28120837</t>
  </si>
  <si>
    <t>28121603</t>
  </si>
  <si>
    <t>28121722</t>
  </si>
  <si>
    <t>28122293</t>
  </si>
  <si>
    <t>27996811</t>
  </si>
  <si>
    <t>27996824</t>
  </si>
  <si>
    <t>27996840</t>
  </si>
  <si>
    <t>27996866</t>
  </si>
  <si>
    <t>28095400</t>
  </si>
  <si>
    <t>27989785</t>
  </si>
  <si>
    <t>27990358</t>
  </si>
  <si>
    <t>27992019</t>
  </si>
  <si>
    <t>27992049</t>
  </si>
  <si>
    <t>27993303</t>
  </si>
  <si>
    <t>27993587</t>
  </si>
  <si>
    <t>27993986</t>
  </si>
  <si>
    <t>28029354</t>
  </si>
  <si>
    <t>28029572</t>
  </si>
  <si>
    <t>28029656</t>
  </si>
  <si>
    <t>28218842</t>
  </si>
  <si>
    <t>28054214</t>
  </si>
  <si>
    <t>28054260</t>
  </si>
  <si>
    <t>28121191</t>
  </si>
  <si>
    <t>28121205</t>
  </si>
  <si>
    <t>28121221</t>
  </si>
  <si>
    <t>28121249</t>
  </si>
  <si>
    <t>28121277</t>
  </si>
  <si>
    <t>28121293</t>
  </si>
  <si>
    <t>28128338</t>
  </si>
  <si>
    <t>28128398</t>
  </si>
  <si>
    <t>28128794</t>
  </si>
  <si>
    <t>28128868</t>
  </si>
  <si>
    <t>28136571</t>
  </si>
  <si>
    <t>28137036</t>
  </si>
  <si>
    <t>28137052</t>
  </si>
  <si>
    <t>28137141</t>
  </si>
  <si>
    <t>28137757</t>
  </si>
  <si>
    <t>28137899</t>
  </si>
  <si>
    <t>28140390</t>
  </si>
  <si>
    <t>28144359</t>
  </si>
  <si>
    <t>28144399</t>
  </si>
  <si>
    <t>28131881</t>
  </si>
  <si>
    <t>28138123</t>
  </si>
  <si>
    <t>28138133</t>
  </si>
  <si>
    <t>28138143</t>
  </si>
  <si>
    <t>28138153</t>
  </si>
  <si>
    <t>27996830</t>
  </si>
  <si>
    <t>27996858</t>
  </si>
  <si>
    <t>27988458</t>
  </si>
  <si>
    <t>27988474</t>
  </si>
  <si>
    <t>27993937</t>
  </si>
  <si>
    <t>27993943</t>
  </si>
  <si>
    <t>28333545</t>
  </si>
  <si>
    <t>28333603</t>
  </si>
  <si>
    <t>28114179</t>
  </si>
  <si>
    <t>28054250</t>
  </si>
  <si>
    <t>28054304</t>
  </si>
  <si>
    <t>28220025</t>
  </si>
  <si>
    <t>28220122</t>
  </si>
  <si>
    <t>28220326</t>
  </si>
  <si>
    <t>27989941</t>
  </si>
  <si>
    <t>27991795</t>
  </si>
  <si>
    <t>28278616</t>
  </si>
  <si>
    <t>28332810</t>
  </si>
  <si>
    <t>28332816</t>
  </si>
  <si>
    <t>28332892</t>
  </si>
  <si>
    <t>28333130</t>
  </si>
  <si>
    <t>28114134</t>
  </si>
  <si>
    <t>28083405</t>
  </si>
  <si>
    <t>28083780</t>
  </si>
  <si>
    <t>28269601</t>
  </si>
  <si>
    <t>28219314</t>
  </si>
  <si>
    <t>28219332</t>
  </si>
  <si>
    <t>28219370</t>
  </si>
  <si>
    <t>28054197</t>
  </si>
  <si>
    <t>28142421</t>
  </si>
  <si>
    <t>28107064</t>
  </si>
  <si>
    <t>28091611</t>
  </si>
  <si>
    <t>28091629</t>
  </si>
  <si>
    <t>28091802</t>
  </si>
  <si>
    <t>28092334</t>
  </si>
  <si>
    <t>28092556</t>
  </si>
  <si>
    <t>28093384</t>
  </si>
  <si>
    <t>28093599</t>
  </si>
  <si>
    <t>28093856</t>
  </si>
  <si>
    <t>28093875</t>
  </si>
  <si>
    <t>28094370</t>
  </si>
  <si>
    <t>28094853</t>
  </si>
  <si>
    <t>28094876</t>
  </si>
  <si>
    <t>28095057</t>
  </si>
  <si>
    <t>28095102</t>
  </si>
  <si>
    <t>28093645</t>
  </si>
  <si>
    <t>28094295</t>
  </si>
  <si>
    <t>28144947</t>
  </si>
  <si>
    <t>28144949</t>
  </si>
  <si>
    <t>28107062</t>
  </si>
  <si>
    <t>28107083</t>
  </si>
  <si>
    <t>28091169</t>
  </si>
  <si>
    <t>28091202</t>
  </si>
  <si>
    <t>28091252</t>
  </si>
  <si>
    <t>28091295</t>
  </si>
  <si>
    <t>28091514</t>
  </si>
  <si>
    <t>28091709</t>
  </si>
  <si>
    <t>28091713</t>
  </si>
  <si>
    <t>28091719</t>
  </si>
  <si>
    <t>28091723</t>
  </si>
  <si>
    <t>28091731</t>
  </si>
  <si>
    <t>28092221</t>
  </si>
  <si>
    <t>28092225</t>
  </si>
  <si>
    <t>28092231</t>
  </si>
  <si>
    <t>28092235</t>
  </si>
  <si>
    <t>28092243</t>
  </si>
  <si>
    <t>28092438</t>
  </si>
  <si>
    <t>28092442</t>
  </si>
  <si>
    <t>28092448</t>
  </si>
  <si>
    <t>28092452</t>
  </si>
  <si>
    <t>28092493</t>
  </si>
  <si>
    <t>28092987</t>
  </si>
  <si>
    <t>28092991</t>
  </si>
  <si>
    <t>28093046</t>
  </si>
  <si>
    <t>28093050</t>
  </si>
  <si>
    <t>28093094</t>
  </si>
  <si>
    <t>28093182</t>
  </si>
  <si>
    <t>28093184</t>
  </si>
  <si>
    <t>28093295</t>
  </si>
  <si>
    <t>28093349</t>
  </si>
  <si>
    <t>28093419</t>
  </si>
  <si>
    <t>28093423</t>
  </si>
  <si>
    <t>28093425</t>
  </si>
  <si>
    <t>28093435</t>
  </si>
  <si>
    <t>28093443</t>
  </si>
  <si>
    <t>28093497</t>
  </si>
  <si>
    <t>28093531</t>
  </si>
  <si>
    <t>28093535</t>
  </si>
  <si>
    <t>28093537</t>
  </si>
  <si>
    <t>28093547</t>
  </si>
  <si>
    <t>28093555</t>
  </si>
  <si>
    <t>28093569</t>
  </si>
  <si>
    <t>28093573</t>
  </si>
  <si>
    <t>28093575</t>
  </si>
  <si>
    <t>28093585</t>
  </si>
  <si>
    <t>28093593</t>
  </si>
  <si>
    <t>28093698</t>
  </si>
  <si>
    <t>28093702</t>
  </si>
  <si>
    <t>28093723</t>
  </si>
  <si>
    <t>28093804</t>
  </si>
  <si>
    <t>28093808</t>
  </si>
  <si>
    <t>28093810</t>
  </si>
  <si>
    <t>28093902</t>
  </si>
  <si>
    <t>28093906</t>
  </si>
  <si>
    <t>28093912</t>
  </si>
  <si>
    <t>28093916</t>
  </si>
  <si>
    <t>28094140</t>
  </si>
  <si>
    <t>28094151</t>
  </si>
  <si>
    <t>28094239</t>
  </si>
  <si>
    <t>28094324</t>
  </si>
  <si>
    <t>28094328</t>
  </si>
  <si>
    <t>28094356</t>
  </si>
  <si>
    <t>28094486</t>
  </si>
  <si>
    <t>28094490</t>
  </si>
  <si>
    <t>28094521</t>
  </si>
  <si>
    <t>28094557</t>
  </si>
  <si>
    <t>28094561</t>
  </si>
  <si>
    <t>28094609</t>
  </si>
  <si>
    <t>28094637</t>
  </si>
  <si>
    <t>28094641</t>
  </si>
  <si>
    <t>28094681</t>
  </si>
  <si>
    <t>28094736</t>
  </si>
  <si>
    <t>28094740</t>
  </si>
  <si>
    <t>28094923</t>
  </si>
  <si>
    <t>28094927</t>
  </si>
  <si>
    <t>28125492</t>
  </si>
  <si>
    <t>28116171</t>
  </si>
  <si>
    <t>28116181</t>
  </si>
  <si>
    <t>28116189</t>
  </si>
  <si>
    <t>28115226</t>
  </si>
  <si>
    <t>28115234</t>
  </si>
  <si>
    <t>28115245</t>
  </si>
  <si>
    <t>28115286</t>
  </si>
  <si>
    <t>28115424</t>
  </si>
  <si>
    <t>28115432</t>
  </si>
  <si>
    <t>28115442</t>
  </si>
  <si>
    <t>28115608</t>
  </si>
  <si>
    <t>28115651</t>
  </si>
  <si>
    <t>28115659</t>
  </si>
  <si>
    <t>28115669</t>
  </si>
  <si>
    <t>28115677</t>
  </si>
  <si>
    <t>28115815</t>
  </si>
  <si>
    <t>28115823</t>
  </si>
  <si>
    <t>28115833</t>
  </si>
  <si>
    <t>28115841</t>
  </si>
  <si>
    <t>28115997</t>
  </si>
  <si>
    <t>28116005</t>
  </si>
  <si>
    <t>28116015</t>
  </si>
  <si>
    <t>28116023</t>
  </si>
  <si>
    <t>27992510</t>
  </si>
  <si>
    <t>27992523</t>
  </si>
  <si>
    <t>27992707</t>
  </si>
  <si>
    <t>27992720</t>
  </si>
  <si>
    <t>28127726</t>
  </si>
  <si>
    <t>28128173</t>
  </si>
  <si>
    <t>28128189</t>
  </si>
  <si>
    <t>28128320</t>
  </si>
  <si>
    <t>28128350</t>
  </si>
  <si>
    <t>28128555</t>
  </si>
  <si>
    <t>28128786</t>
  </si>
  <si>
    <t>28128826</t>
  </si>
  <si>
    <t>28136550</t>
  </si>
  <si>
    <t>28136557</t>
  </si>
  <si>
    <t>28137020</t>
  </si>
  <si>
    <t>28137046</t>
  </si>
  <si>
    <t>28137064</t>
  </si>
  <si>
    <t>28137522</t>
  </si>
  <si>
    <t>28137749</t>
  </si>
  <si>
    <t>28137765</t>
  </si>
  <si>
    <t>28142709</t>
  </si>
  <si>
    <t>28142986</t>
  </si>
  <si>
    <t>28140368</t>
  </si>
  <si>
    <t>28131873</t>
  </si>
  <si>
    <t>28116541</t>
  </si>
  <si>
    <t>28117307</t>
  </si>
  <si>
    <t>28117550</t>
  </si>
  <si>
    <t>28118318</t>
  </si>
  <si>
    <t>28118894</t>
  </si>
  <si>
    <t>28119056</t>
  </si>
  <si>
    <t>28119332</t>
  </si>
  <si>
    <t>28138841</t>
  </si>
  <si>
    <t>28121162</t>
  </si>
  <si>
    <t>28121171</t>
  </si>
  <si>
    <t>28121199</t>
  </si>
  <si>
    <t>28121213</t>
  </si>
  <si>
    <t>28121229</t>
  </si>
  <si>
    <t>28121257</t>
  </si>
  <si>
    <t>28121285</t>
  </si>
  <si>
    <t>28138119</t>
  </si>
  <si>
    <t>28138121</t>
  </si>
  <si>
    <t>28138131</t>
  </si>
  <si>
    <t>28138141</t>
  </si>
  <si>
    <t>28138151</t>
  </si>
  <si>
    <t>27960429</t>
  </si>
  <si>
    <t>27960482</t>
  </si>
  <si>
    <t>27961000</t>
  </si>
  <si>
    <t>27961095</t>
  </si>
  <si>
    <t>27964312</t>
  </si>
  <si>
    <t>27964365</t>
  </si>
  <si>
    <t>27966746</t>
  </si>
  <si>
    <t>27966843</t>
  </si>
  <si>
    <t>27967650</t>
  </si>
  <si>
    <t>27968607</t>
  </si>
  <si>
    <t>27968973</t>
  </si>
  <si>
    <t>27968985</t>
  </si>
  <si>
    <t>27983193</t>
  </si>
  <si>
    <t>27983207</t>
  </si>
  <si>
    <t>27972428</t>
  </si>
  <si>
    <t>27974004</t>
  </si>
  <si>
    <t>27974136</t>
  </si>
  <si>
    <t>27974451</t>
  </si>
  <si>
    <t>27974556</t>
  </si>
  <si>
    <t>27974661</t>
  </si>
  <si>
    <t>27974871</t>
  </si>
  <si>
    <t>27977572</t>
  </si>
  <si>
    <t>27978823</t>
  </si>
  <si>
    <t>27980170</t>
  </si>
  <si>
    <t>27980182</t>
  </si>
  <si>
    <t>28024397</t>
  </si>
  <si>
    <t>28024405</t>
  </si>
  <si>
    <t>28303230</t>
  </si>
  <si>
    <t>28114869</t>
  </si>
  <si>
    <t>28114961</t>
  </si>
  <si>
    <t>28079443</t>
  </si>
  <si>
    <t>28079470</t>
  </si>
  <si>
    <t>27981797</t>
  </si>
  <si>
    <t>27981811</t>
  </si>
  <si>
    <t>27982002</t>
  </si>
  <si>
    <t>27985215</t>
  </si>
  <si>
    <t>27985328</t>
  </si>
  <si>
    <t>27985336</t>
  </si>
  <si>
    <t>27987230</t>
  </si>
  <si>
    <t>27987238</t>
  </si>
  <si>
    <t>28218150</t>
  </si>
  <si>
    <t>27960537</t>
  </si>
  <si>
    <t>27960742</t>
  </si>
  <si>
    <t>27961862</t>
  </si>
  <si>
    <t>27965208</t>
  </si>
  <si>
    <t>27967290</t>
  </si>
  <si>
    <t>27968677</t>
  </si>
  <si>
    <t>27968694</t>
  </si>
  <si>
    <t>27983253</t>
  </si>
  <si>
    <t>27973445</t>
  </si>
  <si>
    <t>27973599</t>
  </si>
  <si>
    <t>27974016</t>
  </si>
  <si>
    <t>27974044</t>
  </si>
  <si>
    <t>27974148</t>
  </si>
  <si>
    <t>27974176</t>
  </si>
  <si>
    <t>27974463</t>
  </si>
  <si>
    <t>27974491</t>
  </si>
  <si>
    <t>27974568</t>
  </si>
  <si>
    <t>27974596</t>
  </si>
  <si>
    <t>27974673</t>
  </si>
  <si>
    <t>27974701</t>
  </si>
  <si>
    <t>27974806</t>
  </si>
  <si>
    <t>27974883</t>
  </si>
  <si>
    <t>27974911</t>
  </si>
  <si>
    <t>27978457</t>
  </si>
  <si>
    <t>27978835</t>
  </si>
  <si>
    <t>27980815</t>
  </si>
  <si>
    <t>28303741</t>
  </si>
  <si>
    <t>28114881</t>
  </si>
  <si>
    <t>28114909</t>
  </si>
  <si>
    <t>28114973</t>
  </si>
  <si>
    <t>28115001</t>
  </si>
  <si>
    <t>28079532</t>
  </si>
  <si>
    <t>28079965</t>
  </si>
  <si>
    <t>28022510</t>
  </si>
  <si>
    <t>28023124</t>
  </si>
  <si>
    <t>28023827</t>
  </si>
  <si>
    <t>28024152</t>
  </si>
  <si>
    <t>27981922</t>
  </si>
  <si>
    <t>27982783</t>
  </si>
  <si>
    <t>27985346</t>
  </si>
  <si>
    <t>27986202</t>
  </si>
  <si>
    <t>27987171</t>
  </si>
  <si>
    <t>28110813</t>
  </si>
  <si>
    <t>28110966</t>
  </si>
  <si>
    <t>28110982</t>
  </si>
  <si>
    <t>28111999</t>
  </si>
  <si>
    <t>28112001</t>
  </si>
  <si>
    <t>28112011</t>
  </si>
  <si>
    <t>28112021</t>
  </si>
  <si>
    <t>28112267</t>
  </si>
  <si>
    <t>28112269</t>
  </si>
  <si>
    <t>28112279</t>
  </si>
  <si>
    <t>28112289</t>
  </si>
  <si>
    <t>28117232</t>
  </si>
  <si>
    <t>28117827</t>
  </si>
  <si>
    <t>28284960</t>
  </si>
  <si>
    <t>27959392</t>
  </si>
  <si>
    <t>27959414</t>
  </si>
  <si>
    <t>27961620</t>
  </si>
  <si>
    <t>27961642</t>
  </si>
  <si>
    <t>27983318</t>
  </si>
  <si>
    <t>27985389</t>
  </si>
  <si>
    <t>27960752</t>
  </si>
  <si>
    <t>27961833</t>
  </si>
  <si>
    <t>27965192</t>
  </si>
  <si>
    <t>27973455</t>
  </si>
  <si>
    <t>27973581</t>
  </si>
  <si>
    <t>27974020</t>
  </si>
  <si>
    <t>27974032</t>
  </si>
  <si>
    <t>27974152</t>
  </si>
  <si>
    <t>27974164</t>
  </si>
  <si>
    <t>27974467</t>
  </si>
  <si>
    <t>27974479</t>
  </si>
  <si>
    <t>27974572</t>
  </si>
  <si>
    <t>27974584</t>
  </si>
  <si>
    <t>27974677</t>
  </si>
  <si>
    <t>27974689</t>
  </si>
  <si>
    <t>27974794</t>
  </si>
  <si>
    <t>27974887</t>
  </si>
  <si>
    <t>27974899</t>
  </si>
  <si>
    <t>27978577</t>
  </si>
  <si>
    <t>27978839</t>
  </si>
  <si>
    <t>27980826</t>
  </si>
  <si>
    <t>28303690</t>
  </si>
  <si>
    <t>28114885</t>
  </si>
  <si>
    <t>28114897</t>
  </si>
  <si>
    <t>28114977</t>
  </si>
  <si>
    <t>28114989</t>
  </si>
  <si>
    <t>28022521</t>
  </si>
  <si>
    <t>28023134</t>
  </si>
  <si>
    <t>28023838</t>
  </si>
  <si>
    <t>28024163</t>
  </si>
  <si>
    <t>27982793</t>
  </si>
  <si>
    <t>28130588</t>
  </si>
  <si>
    <t>28028912</t>
  </si>
  <si>
    <t>27965133</t>
  </si>
  <si>
    <t>27969625</t>
  </si>
  <si>
    <t>28079856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</si>
</sst>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  <font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5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0" fontId="1" fillId="3" borderId="1" xfId="1" applyNumberFormat="1" applyFill="1" applyBorder="1">
      <alignment wrapText="1"/>
    </xf>
    <xf numFmtId="0" fontId="6" fillId="4" borderId="1" xfId="1" applyFont="1" applyFill="1" applyBorder="1">
      <alignment wrapText="1"/>
    </xf>
    <xf numFmtId="0" fontId="2" fillId="0" borderId="0" xfId="7" applyNumberFormat="1" applyAlignment="1">
      <alignment horizontal="right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theme" Target="theme/theme1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styles" Target="styles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calcChain" Target="calcChain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worksheet" Target="worksheets/sheet2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3.1" displayName="Criteria_Summary13.3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3.10" displayName="Criteria_Summary13.3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00000000-000C-0000-FFFF-FFFF63000000}" name="Elements13_3_361" displayName="Elements13_3_361" ref="A6:E20" totalsRowCount="1" totalsRowCellStyle="styleRegular">
  <autoFilter ref="A6:E19" xr:uid="{00000000-0009-0000-0100-000064000000}"/>
  <tableColumns count="5">
    <tableColumn id="1" xr3:uid="{00000000-0010-0000-6300-000001000000}" name="Projeto"/>
    <tableColumn id="2" xr3:uid="{00000000-0010-0000-6300-000002000000}" name="Vínculo"/>
    <tableColumn id="3" xr3:uid="{00000000-0010-0000-6300-000003000000}" name="Elemento" totalsRowFunction="count"/>
    <tableColumn id="4" xr3:uid="{00000000-0010-0000-6300-000004000000}" name="Id do Revit"/>
    <tableColumn id="5" xr3:uid="{00000000-0010-0000-6300-000005000000}" name="Totais:" totalsRowFunction="sum"/>
  </tableColumns>
  <tableStyleInfo name="TableStyleLight4" showFirstColumn="0" showLastColumn="0" showRowStripes="1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00000000-000C-0000-FFFF-FFFF64000000}" name="Elements13_3_371" displayName="Elements13_3_371" ref="A6:E104" totalsRowCount="1" totalsRowCellStyle="styleRegular">
  <autoFilter ref="A6:E103" xr:uid="{00000000-0009-0000-0100-000065000000}"/>
  <tableColumns count="5">
    <tableColumn id="1" xr3:uid="{00000000-0010-0000-6400-000001000000}" name="Projeto"/>
    <tableColumn id="2" xr3:uid="{00000000-0010-0000-6400-000002000000}" name="Vínculo"/>
    <tableColumn id="3" xr3:uid="{00000000-0010-0000-6400-000003000000}" name="Elemento" totalsRowFunction="count"/>
    <tableColumn id="4" xr3:uid="{00000000-0010-0000-6400-000004000000}" name="Id do Revit"/>
    <tableColumn id="5" xr3:uid="{00000000-0010-0000-6400-000005000000}" name="Totais:" totalsRowFunction="sum"/>
  </tableColumns>
  <tableStyleInfo name="TableStyleLight4" showFirstColumn="0" showLastColumn="0" showRowStripes="1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00000000-000C-0000-FFFF-FFFF65000000}" name="Elements13_3_381" displayName="Elements13_3_381" ref="A6:E9" totalsRowCount="1" totalsRowCellStyle="styleRegular">
  <autoFilter ref="A6:E8" xr:uid="{00000000-0009-0000-0100-000066000000}"/>
  <tableColumns count="5">
    <tableColumn id="1" xr3:uid="{00000000-0010-0000-6500-000001000000}" name="Projeto"/>
    <tableColumn id="2" xr3:uid="{00000000-0010-0000-6500-000002000000}" name="Vínculo"/>
    <tableColumn id="3" xr3:uid="{00000000-0010-0000-6500-000003000000}" name="Elemento" totalsRowFunction="count"/>
    <tableColumn id="4" xr3:uid="{00000000-0010-0000-6500-000004000000}" name="Id do Revit"/>
    <tableColumn id="5" xr3:uid="{00000000-0010-0000-6500-000005000000}" name="Totais:" totalsRowFunction="sum"/>
  </tableColumns>
  <tableStyleInfo name="TableStyleLight4" showFirstColumn="0" showLastColumn="0" showRowStripes="1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00000000-000C-0000-FFFF-FFFF66000000}" name="Elements13_3_391" displayName="Elements13_3_391" ref="A6:E25" totalsRowCount="1" totalsRowCellStyle="styleRegular">
  <autoFilter ref="A6:E24" xr:uid="{00000000-0009-0000-0100-000067000000}"/>
  <tableColumns count="5">
    <tableColumn id="1" xr3:uid="{00000000-0010-0000-6600-000001000000}" name="Projeto"/>
    <tableColumn id="2" xr3:uid="{00000000-0010-0000-6600-000002000000}" name="Vínculo"/>
    <tableColumn id="3" xr3:uid="{00000000-0010-0000-6600-000003000000}" name="Elemento" totalsRowFunction="count"/>
    <tableColumn id="4" xr3:uid="{00000000-0010-0000-6600-000004000000}" name="Id do Revit"/>
    <tableColumn id="5" xr3:uid="{00000000-0010-0000-6600-000005000000}" name="Totais:" totalsRowFunction="sum"/>
  </tableColumns>
  <tableStyleInfo name="TableStyleLight4" showFirstColumn="0" showLastColumn="0" showRowStripes="1" showColumnStripes="0"/>
</table>
</file>

<file path=xl/tables/table10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00000000-000C-0000-FFFF-FFFF67000000}" name="Elements13_3_401" displayName="Elements13_3_401" ref="A6:E21" totalsRowCount="1" totalsRowCellStyle="styleRegular">
  <autoFilter ref="A6:E20" xr:uid="{00000000-0009-0000-0100-000068000000}"/>
  <tableColumns count="5">
    <tableColumn id="1" xr3:uid="{00000000-0010-0000-6700-000001000000}" name="Projeto"/>
    <tableColumn id="2" xr3:uid="{00000000-0010-0000-6700-000002000000}" name="Vínculo"/>
    <tableColumn id="3" xr3:uid="{00000000-0010-0000-6700-000003000000}" name="Elemento" totalsRowFunction="count"/>
    <tableColumn id="4" xr3:uid="{00000000-0010-0000-6700-000004000000}" name="Id do Revit"/>
    <tableColumn id="5" xr3:uid="{00000000-0010-0000-6700-000005000000}" name="Totais:" totalsRowFunction="sum"/>
  </tableColumns>
  <tableStyleInfo name="TableStyleLight4" showFirstColumn="0" showLastColumn="0" showRowStripes="1" showColumnStripes="0"/>
</table>
</file>

<file path=xl/tables/table10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5" xr:uid="{00000000-000C-0000-FFFF-FFFF68000000}" name="Elements13_3_411" displayName="Elements13_3_411" ref="A6:E25" totalsRowCount="1" totalsRowCellStyle="styleRegular">
  <autoFilter ref="A6:E24" xr:uid="{00000000-0009-0000-0100-000069000000}"/>
  <tableColumns count="5">
    <tableColumn id="1" xr3:uid="{00000000-0010-0000-6800-000001000000}" name="Projeto"/>
    <tableColumn id="2" xr3:uid="{00000000-0010-0000-6800-000002000000}" name="Vínculo"/>
    <tableColumn id="3" xr3:uid="{00000000-0010-0000-6800-000003000000}" name="Elemento" totalsRowFunction="count"/>
    <tableColumn id="4" xr3:uid="{00000000-0010-0000-6800-000004000000}" name="Id do Revit"/>
    <tableColumn id="5" xr3:uid="{00000000-0010-0000-6800-000005000000}" name="Totais:" totalsRowFunction="sum"/>
  </tableColumns>
  <tableStyleInfo name="TableStyleLight4" showFirstColumn="0" showLastColumn="0" showRowStripes="1" showColumnStripes="0"/>
</table>
</file>

<file path=xl/tables/table10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6" xr:uid="{00000000-000C-0000-FFFF-FFFF69000000}" name="Elements13_3_421" displayName="Elements13_3_421" ref="A6:E13" totalsRowCount="1" totalsRowCellStyle="styleRegular">
  <autoFilter ref="A6:E12" xr:uid="{00000000-0009-0000-0100-00006A000000}"/>
  <tableColumns count="5">
    <tableColumn id="1" xr3:uid="{00000000-0010-0000-6900-000001000000}" name="Projeto"/>
    <tableColumn id="2" xr3:uid="{00000000-0010-0000-6900-000002000000}" name="Vínculo"/>
    <tableColumn id="3" xr3:uid="{00000000-0010-0000-6900-000003000000}" name="Elemento" totalsRowFunction="count"/>
    <tableColumn id="4" xr3:uid="{00000000-0010-0000-6900-000004000000}" name="Id do Revit"/>
    <tableColumn id="5" xr3:uid="{00000000-0010-0000-6900-000005000000}" name="Totais:" totalsRowFunction="sum"/>
  </tableColumns>
  <tableStyleInfo name="TableStyleLight4" showFirstColumn="0" showLastColumn="0" showRowStripes="1" showColumnStripes="0"/>
</table>
</file>

<file path=xl/tables/table10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7" xr:uid="{00000000-000C-0000-FFFF-FFFF6A000000}" name="Elements13_3_431" displayName="Elements13_3_431" ref="A6:E25" totalsRowCount="1" totalsRowCellStyle="styleRegular">
  <autoFilter ref="A6:E24" xr:uid="{00000000-0009-0000-0100-00006B000000}"/>
  <tableColumns count="5">
    <tableColumn id="1" xr3:uid="{00000000-0010-0000-6A00-000001000000}" name="Projeto"/>
    <tableColumn id="2" xr3:uid="{00000000-0010-0000-6A00-000002000000}" name="Vínculo"/>
    <tableColumn id="3" xr3:uid="{00000000-0010-0000-6A00-000003000000}" name="Elemento" totalsRowFunction="count"/>
    <tableColumn id="4" xr3:uid="{00000000-0010-0000-6A00-000004000000}" name="Id do Revit"/>
    <tableColumn id="5" xr3:uid="{00000000-0010-0000-6A00-000005000000}" name="Totais:" totalsRowFunction="sum"/>
  </tableColumns>
  <tableStyleInfo name="TableStyleLight4" showFirstColumn="0" showLastColumn="0" showRowStripes="1" showColumnStripes="0"/>
</table>
</file>

<file path=xl/tables/table10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8" xr:uid="{00000000-000C-0000-FFFF-FFFF6B000000}" name="Elements13_3_441" displayName="Elements13_3_441" ref="A6:E18" totalsRowCount="1" totalsRowCellStyle="styleRegular">
  <autoFilter ref="A6:E17" xr:uid="{00000000-0009-0000-0100-00006C000000}"/>
  <tableColumns count="5">
    <tableColumn id="1" xr3:uid="{00000000-0010-0000-6B00-000001000000}" name="Projeto"/>
    <tableColumn id="2" xr3:uid="{00000000-0010-0000-6B00-000002000000}" name="Vínculo"/>
    <tableColumn id="3" xr3:uid="{00000000-0010-0000-6B00-000003000000}" name="Elemento" totalsRowFunction="count"/>
    <tableColumn id="4" xr3:uid="{00000000-0010-0000-6B00-000004000000}" name="Id do Revit"/>
    <tableColumn id="5" xr3:uid="{00000000-0010-0000-6B00-000005000000}" name="Totais:" totalsRowFunction="sum"/>
  </tableColumns>
  <tableStyleInfo name="TableStyleLight4" showFirstColumn="0" showLastColumn="0" showRowStripes="1" showColumnStripes="0"/>
</table>
</file>

<file path=xl/tables/table10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9" xr:uid="{00000000-000C-0000-FFFF-FFFF6C000000}" name="Elements13_3_451" displayName="Elements13_3_451" ref="A6:E25" totalsRowCount="1" totalsRowCellStyle="styleRegular">
  <autoFilter ref="A6:E24" xr:uid="{00000000-0009-0000-0100-00006D000000}"/>
  <tableColumns count="5">
    <tableColumn id="1" xr3:uid="{00000000-0010-0000-6C00-000001000000}" name="Projeto"/>
    <tableColumn id="2" xr3:uid="{00000000-0010-0000-6C00-000002000000}" name="Vínculo"/>
    <tableColumn id="3" xr3:uid="{00000000-0010-0000-6C00-000003000000}" name="Elemento" totalsRowFunction="count"/>
    <tableColumn id="4" xr3:uid="{00000000-0010-0000-6C00-000004000000}" name="Id do Revit"/>
    <tableColumn id="5" xr3:uid="{00000000-0010-0000-6C00-000005000000}" name="Totais: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3.11" displayName="Criteria_Summary13.3.11" ref="A7:E9" totalsRowCount="1" totalsRowCellStyle="styleRegular">
  <autoFilter ref="A7:E8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0" xr:uid="{00000000-000C-0000-FFFF-FFFF6D000000}" name="Elements13_3_461" displayName="Elements13_3_461" ref="A6:E8" totalsRowCount="1" totalsRowCellStyle="styleRegular">
  <autoFilter ref="A6:E7" xr:uid="{00000000-0009-0000-0100-00006E000000}"/>
  <tableColumns count="5">
    <tableColumn id="1" xr3:uid="{00000000-0010-0000-6D00-000001000000}" name="Projeto"/>
    <tableColumn id="2" xr3:uid="{00000000-0010-0000-6D00-000002000000}" name="Vínculo"/>
    <tableColumn id="3" xr3:uid="{00000000-0010-0000-6D00-000003000000}" name="Elemento" totalsRowFunction="count"/>
    <tableColumn id="4" xr3:uid="{00000000-0010-0000-6D00-000004000000}" name="Id do Revit"/>
    <tableColumn id="5" xr3:uid="{00000000-0010-0000-6D00-000005000000}" name="Totais:" totalsRowFunction="sum"/>
  </tableColumns>
  <tableStyleInfo name="TableStyleLight4" showFirstColumn="0" showLastColumn="0" showRowStripes="1" showColumnStripes="0"/>
</table>
</file>

<file path=xl/tables/table1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1" xr:uid="{00000000-000C-0000-FFFF-FFFF6E000000}" name="Elements13_3_471" displayName="Elements13_3_471" ref="A6:E8" totalsRowCount="1" totalsRowCellStyle="styleRegular">
  <autoFilter ref="A6:E7" xr:uid="{00000000-0009-0000-0100-00006F000000}"/>
  <tableColumns count="5">
    <tableColumn id="1" xr3:uid="{00000000-0010-0000-6E00-000001000000}" name="Projeto"/>
    <tableColumn id="2" xr3:uid="{00000000-0010-0000-6E00-000002000000}" name="Vínculo"/>
    <tableColumn id="3" xr3:uid="{00000000-0010-0000-6E00-000003000000}" name="Elemento" totalsRowFunction="count"/>
    <tableColumn id="4" xr3:uid="{00000000-0010-0000-6E00-000004000000}" name="Id do Revit"/>
    <tableColumn id="5" xr3:uid="{00000000-0010-0000-6E00-000005000000}" name="Totais:" totalsRowFunction="sum"/>
  </tableColumns>
  <tableStyleInfo name="TableStyleLight4" showFirstColumn="0" showLastColumn="0" showRowStripes="1" showColumnStripes="0"/>
</table>
</file>

<file path=xl/tables/table1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2" xr:uid="{00000000-000C-0000-FFFF-FFFF6F000000}" name="Elements13_3_481" displayName="Elements13_3_481" ref="A6:E22" totalsRowCount="1" totalsRowCellStyle="styleRegular">
  <autoFilter ref="A6:E21" xr:uid="{00000000-0009-0000-0100-000070000000}"/>
  <tableColumns count="5">
    <tableColumn id="1" xr3:uid="{00000000-0010-0000-6F00-000001000000}" name="Projeto"/>
    <tableColumn id="2" xr3:uid="{00000000-0010-0000-6F00-000002000000}" name="Vínculo"/>
    <tableColumn id="3" xr3:uid="{00000000-0010-0000-6F00-000003000000}" name="Elemento" totalsRowFunction="count"/>
    <tableColumn id="4" xr3:uid="{00000000-0010-0000-6F00-000004000000}" name="Id do Revit"/>
    <tableColumn id="5" xr3:uid="{00000000-0010-0000-6F00-000005000000}" name="Totais:" totalsRowFunction="sum"/>
  </tableColumns>
  <tableStyleInfo name="TableStyleLight4" showFirstColumn="0" showLastColumn="0" showRowStripes="1" showColumnStripes="0"/>
</table>
</file>

<file path=xl/tables/table1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3" xr:uid="{00000000-000C-0000-FFFF-FFFF70000000}" name="Elements13_3_491" displayName="Elements13_3_491" ref="A6:E9" totalsRowCount="1" totalsRowCellStyle="styleRegular">
  <autoFilter ref="A6:E8" xr:uid="{00000000-0009-0000-0100-000071000000}"/>
  <tableColumns count="5">
    <tableColumn id="1" xr3:uid="{00000000-0010-0000-7000-000001000000}" name="Projeto"/>
    <tableColumn id="2" xr3:uid="{00000000-0010-0000-7000-000002000000}" name="Vínculo"/>
    <tableColumn id="3" xr3:uid="{00000000-0010-0000-7000-000003000000}" name="Elemento" totalsRowFunction="count"/>
    <tableColumn id="4" xr3:uid="{00000000-0010-0000-7000-000004000000}" name="Id do Revit"/>
    <tableColumn id="5" xr3:uid="{00000000-0010-0000-7000-000005000000}" name="Totais:" totalsRowFunction="sum"/>
  </tableColumns>
  <tableStyleInfo name="TableStyleLight4" showFirstColumn="0" showLastColumn="0" showRowStripes="1" showColumnStripes="0"/>
</table>
</file>

<file path=xl/tables/table1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4" xr:uid="{00000000-000C-0000-FFFF-FFFF71000000}" name="Elements13_3_501" displayName="Elements13_3_501" ref="A6:E109" totalsRowCount="1" totalsRowCellStyle="styleRegular">
  <autoFilter ref="A6:E108" xr:uid="{00000000-0009-0000-0100-000072000000}"/>
  <tableColumns count="5">
    <tableColumn id="1" xr3:uid="{00000000-0010-0000-7100-000001000000}" name="Projeto"/>
    <tableColumn id="2" xr3:uid="{00000000-0010-0000-7100-000002000000}" name="Vínculo"/>
    <tableColumn id="3" xr3:uid="{00000000-0010-0000-7100-000003000000}" name="Elemento" totalsRowFunction="count"/>
    <tableColumn id="4" xr3:uid="{00000000-0010-0000-7100-000004000000}" name="Id do Revit"/>
    <tableColumn id="5" xr3:uid="{00000000-0010-0000-7100-000005000000}" name="Totais:" totalsRowFunction="sum"/>
  </tableColumns>
  <tableStyleInfo name="TableStyleLight4" showFirstColumn="0" showLastColumn="0" showRowStripes="1" showColumnStripes="0"/>
</table>
</file>

<file path=xl/tables/table1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5" xr:uid="{00000000-000C-0000-FFFF-FFFF72000000}" name="Elements13_3_511" displayName="Elements13_3_511" ref="A6:E36" totalsRowCount="1" totalsRowCellStyle="styleRegular">
  <autoFilter ref="A6:E35" xr:uid="{00000000-0009-0000-0100-000073000000}"/>
  <tableColumns count="5">
    <tableColumn id="1" xr3:uid="{00000000-0010-0000-7200-000001000000}" name="Projeto"/>
    <tableColumn id="2" xr3:uid="{00000000-0010-0000-7200-000002000000}" name="Vínculo"/>
    <tableColumn id="3" xr3:uid="{00000000-0010-0000-7200-000003000000}" name="Elemento" totalsRowFunction="count"/>
    <tableColumn id="4" xr3:uid="{00000000-0010-0000-7200-000004000000}" name="Id do Revit"/>
    <tableColumn id="5" xr3:uid="{00000000-0010-0000-7200-000005000000}" name="Totais:" totalsRowFunction="sum"/>
  </tableColumns>
  <tableStyleInfo name="TableStyleLight4" showFirstColumn="0" showLastColumn="0" showRowStripes="1" showColumnStripes="0"/>
</table>
</file>

<file path=xl/tables/table1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6" xr:uid="{00000000-000C-0000-FFFF-FFFF73000000}" name="Elements13_3_521" displayName="Elements13_3_521" ref="A6:E29" totalsRowCount="1" totalsRowCellStyle="styleRegular">
  <autoFilter ref="A6:E28" xr:uid="{00000000-0009-0000-0100-000074000000}"/>
  <tableColumns count="5">
    <tableColumn id="1" xr3:uid="{00000000-0010-0000-7300-000001000000}" name="Projeto"/>
    <tableColumn id="2" xr3:uid="{00000000-0010-0000-7300-000002000000}" name="Vínculo"/>
    <tableColumn id="3" xr3:uid="{00000000-0010-0000-7300-000003000000}" name="Elemento" totalsRowFunction="count"/>
    <tableColumn id="4" xr3:uid="{00000000-0010-0000-7300-000004000000}" name="Id do Revit"/>
    <tableColumn id="5" xr3:uid="{00000000-0010-0000-7300-000005000000}" name="Totais:" totalsRowFunction="sum"/>
  </tableColumns>
  <tableStyleInfo name="TableStyleLight4" showFirstColumn="0" showLastColumn="0" showRowStripes="1" showColumnStripes="0"/>
</table>
</file>

<file path=xl/tables/table1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7" xr:uid="{00000000-000C-0000-FFFF-FFFF74000000}" name="Elements13_3_531" displayName="Elements13_3_531" ref="A6:E11" totalsRowCount="1" totalsRowCellStyle="styleRegular">
  <autoFilter ref="A6:E10" xr:uid="{00000000-0009-0000-0100-000075000000}"/>
  <tableColumns count="5">
    <tableColumn id="1" xr3:uid="{00000000-0010-0000-7400-000001000000}" name="Projeto"/>
    <tableColumn id="2" xr3:uid="{00000000-0010-0000-7400-000002000000}" name="Vínculo"/>
    <tableColumn id="3" xr3:uid="{00000000-0010-0000-7400-000003000000}" name="Elemento" totalsRowFunction="count"/>
    <tableColumn id="4" xr3:uid="{00000000-0010-0000-7400-000004000000}" name="Id do Revit"/>
    <tableColumn id="5" xr3:uid="{00000000-0010-0000-7400-000005000000}" name="Totais:" totalsRowFunction="sum"/>
  </tableColumns>
  <tableStyleInfo name="TableStyleLight4" showFirstColumn="0" showLastColumn="0" showRowStripes="1" showColumnStripes="0"/>
</table>
</file>

<file path=xl/tables/table1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8" xr:uid="{00000000-000C-0000-FFFF-FFFF75000000}" name="Elements13_3_541" displayName="Elements13_3_541" ref="A6:E47" totalsRowCount="1" totalsRowCellStyle="styleRegular">
  <autoFilter ref="A6:E46" xr:uid="{00000000-0009-0000-0100-000076000000}"/>
  <tableColumns count="5">
    <tableColumn id="1" xr3:uid="{00000000-0010-0000-7500-000001000000}" name="Projeto"/>
    <tableColumn id="2" xr3:uid="{00000000-0010-0000-7500-000002000000}" name="Vínculo"/>
    <tableColumn id="3" xr3:uid="{00000000-0010-0000-7500-000003000000}" name="Elemento" totalsRowFunction="count"/>
    <tableColumn id="4" xr3:uid="{00000000-0010-0000-7500-000004000000}" name="Id do Revit"/>
    <tableColumn id="5" xr3:uid="{00000000-0010-0000-7500-000005000000}" name="Totais:" totalsRowFunction="sum"/>
  </tableColumns>
  <tableStyleInfo name="TableStyleLight4" showFirstColumn="0" showLastColumn="0" showRowStripes="1" showColumnStripes="0"/>
</table>
</file>

<file path=xl/tables/table1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9" xr:uid="{00000000-000C-0000-FFFF-FFFF76000000}" name="Elements13_3_551" displayName="Elements13_3_551" ref="A6:E22" totalsRowCount="1" totalsRowCellStyle="styleRegular">
  <autoFilter ref="A6:E21" xr:uid="{00000000-0009-0000-0100-000077000000}"/>
  <tableColumns count="5">
    <tableColumn id="1" xr3:uid="{00000000-0010-0000-7600-000001000000}" name="Projeto"/>
    <tableColumn id="2" xr3:uid="{00000000-0010-0000-7600-000002000000}" name="Vínculo"/>
    <tableColumn id="3" xr3:uid="{00000000-0010-0000-7600-000003000000}" name="Elemento" totalsRowFunction="count"/>
    <tableColumn id="4" xr3:uid="{00000000-0010-0000-7600-000004000000}" name="Id do Revit"/>
    <tableColumn id="5" xr3:uid="{00000000-0010-0000-7600-000005000000}" name="Totais: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3.12" displayName="Criteria_Summary13.3.12" ref="A7:E9" totalsRowCount="1" totalsRowCellStyle="styleRegular">
  <autoFilter ref="A7:E8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0" xr:uid="{00000000-000C-0000-FFFF-FFFF77000000}" name="Elements13_3_561" displayName="Elements13_3_561" ref="A6:E48" totalsRowCount="1" totalsRowCellStyle="styleRegular">
  <autoFilter ref="A6:E47" xr:uid="{00000000-0009-0000-0100-000078000000}"/>
  <tableColumns count="5">
    <tableColumn id="1" xr3:uid="{00000000-0010-0000-7700-000001000000}" name="Projeto"/>
    <tableColumn id="2" xr3:uid="{00000000-0010-0000-7700-000002000000}" name="Vínculo"/>
    <tableColumn id="3" xr3:uid="{00000000-0010-0000-7700-000003000000}" name="Elemento" totalsRowFunction="count"/>
    <tableColumn id="4" xr3:uid="{00000000-0010-0000-7700-000004000000}" name="Id do Revit"/>
    <tableColumn id="5" xr3:uid="{00000000-0010-0000-7700-000005000000}" name="Totais:" totalsRowFunction="sum"/>
  </tableColumns>
  <tableStyleInfo name="TableStyleLight4" showFirstColumn="0" showLastColumn="0" showRowStripes="1" showColumnStripes="0"/>
</table>
</file>

<file path=xl/tables/table1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1" xr:uid="{00000000-000C-0000-FFFF-FFFF78000000}" name="Elements13_3_571" displayName="Elements13_3_571" ref="A6:E49" totalsRowCount="1" totalsRowCellStyle="styleRegular">
  <autoFilter ref="A6:E48" xr:uid="{00000000-0009-0000-0100-000079000000}"/>
  <tableColumns count="5">
    <tableColumn id="1" xr3:uid="{00000000-0010-0000-7800-000001000000}" name="Projeto"/>
    <tableColumn id="2" xr3:uid="{00000000-0010-0000-7800-000002000000}" name="Vínculo"/>
    <tableColumn id="3" xr3:uid="{00000000-0010-0000-7800-000003000000}" name="Elemento" totalsRowFunction="count"/>
    <tableColumn id="4" xr3:uid="{00000000-0010-0000-7800-000004000000}" name="Id do Revit"/>
    <tableColumn id="5" xr3:uid="{00000000-0010-0000-7800-000005000000}" name="Totais:" totalsRowFunction="sum"/>
  </tableColumns>
  <tableStyleInfo name="TableStyleLight4" showFirstColumn="0" showLastColumn="0" showRowStripes="1" showColumnStripes="0"/>
</table>
</file>

<file path=xl/tables/table1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2" xr:uid="{00000000-000C-0000-FFFF-FFFF79000000}" name="Elements13_3_581" displayName="Elements13_3_581" ref="A6:E21" totalsRowCount="1" totalsRowCellStyle="styleRegular">
  <autoFilter ref="A6:E20" xr:uid="{00000000-0009-0000-0100-00007A000000}"/>
  <tableColumns count="5">
    <tableColumn id="1" xr3:uid="{00000000-0010-0000-7900-000001000000}" name="Projeto"/>
    <tableColumn id="2" xr3:uid="{00000000-0010-0000-7900-000002000000}" name="Vínculo"/>
    <tableColumn id="3" xr3:uid="{00000000-0010-0000-7900-000003000000}" name="Elemento" totalsRowFunction="count"/>
    <tableColumn id="4" xr3:uid="{00000000-0010-0000-7900-000004000000}" name="Id do Revit"/>
    <tableColumn id="5" xr3:uid="{00000000-0010-0000-7900-000005000000}" name="Totais:" totalsRowFunction="sum"/>
  </tableColumns>
  <tableStyleInfo name="TableStyleLight4" showFirstColumn="0" showLastColumn="0" showRowStripes="1" showColumnStripes="0"/>
</table>
</file>

<file path=xl/tables/table1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3" xr:uid="{00000000-000C-0000-FFFF-FFFF7A000000}" name="Elements13_3_591" displayName="Elements13_3_591" ref="A6:E11" totalsRowCount="1" totalsRowCellStyle="styleRegular">
  <autoFilter ref="A6:E10" xr:uid="{00000000-0009-0000-0100-00007B000000}"/>
  <tableColumns count="5">
    <tableColumn id="1" xr3:uid="{00000000-0010-0000-7A00-000001000000}" name="Projeto"/>
    <tableColumn id="2" xr3:uid="{00000000-0010-0000-7A00-000002000000}" name="Vínculo"/>
    <tableColumn id="3" xr3:uid="{00000000-0010-0000-7A00-000003000000}" name="Elemento" totalsRowFunction="count"/>
    <tableColumn id="4" xr3:uid="{00000000-0010-0000-7A00-000004000000}" name="Id do Revit"/>
    <tableColumn id="5" xr3:uid="{00000000-0010-0000-7A00-000005000000}" name="Totais:" totalsRowFunction="sum"/>
  </tableColumns>
  <tableStyleInfo name="TableStyleLight4" showFirstColumn="0" showLastColumn="0" showRowStripes="1" showColumnStripes="0"/>
</table>
</file>

<file path=xl/tables/table1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4" xr:uid="{00000000-000C-0000-FFFF-FFFF7B000000}" name="Elements13_3_601" displayName="Elements13_3_601" ref="A6:E13" totalsRowCount="1" totalsRowCellStyle="styleRegular">
  <autoFilter ref="A6:E12" xr:uid="{00000000-0009-0000-0100-00007C000000}"/>
  <tableColumns count="5">
    <tableColumn id="1" xr3:uid="{00000000-0010-0000-7B00-000001000000}" name="Projeto"/>
    <tableColumn id="2" xr3:uid="{00000000-0010-0000-7B00-000002000000}" name="Vínculo"/>
    <tableColumn id="3" xr3:uid="{00000000-0010-0000-7B00-000003000000}" name="Elemento" totalsRowFunction="count"/>
    <tableColumn id="4" xr3:uid="{00000000-0010-0000-7B00-000004000000}" name="Id do Revit"/>
    <tableColumn id="5" xr3:uid="{00000000-0010-0000-7B00-000005000000}" name="Totais:" totalsRowFunction="sum"/>
  </tableColumns>
  <tableStyleInfo name="TableStyleLight4" showFirstColumn="0" showLastColumn="0" showRowStripes="1" showColumnStripes="0"/>
</table>
</file>

<file path=xl/tables/table1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5" xr:uid="{00000000-000C-0000-FFFF-FFFF7C000000}" name="Elements13_3_611" displayName="Elements13_3_611" ref="A6:E38" totalsRowCount="1" totalsRowCellStyle="styleRegular">
  <autoFilter ref="A6:E37" xr:uid="{00000000-0009-0000-0100-00007D000000}"/>
  <tableColumns count="5">
    <tableColumn id="1" xr3:uid="{00000000-0010-0000-7C00-000001000000}" name="Projeto"/>
    <tableColumn id="2" xr3:uid="{00000000-0010-0000-7C00-000002000000}" name="Vínculo"/>
    <tableColumn id="3" xr3:uid="{00000000-0010-0000-7C00-000003000000}" name="Elemento" totalsRowFunction="count"/>
    <tableColumn id="4" xr3:uid="{00000000-0010-0000-7C00-000004000000}" name="Id do Revit"/>
    <tableColumn id="5" xr3:uid="{00000000-0010-0000-7C00-000005000000}" name="Totais:" totalsRowFunction="sum"/>
  </tableColumns>
  <tableStyleInfo name="TableStyleLight4" showFirstColumn="0" showLastColumn="0" showRowStripes="1" showColumnStripes="0"/>
</table>
</file>

<file path=xl/tables/table1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6" xr:uid="{00000000-000C-0000-FFFF-FFFF7D000000}" name="Elements13_3_621" displayName="Elements13_3_621" ref="A6:E9" totalsRowCount="1" totalsRowCellStyle="styleRegular">
  <autoFilter ref="A6:E8" xr:uid="{00000000-0009-0000-0100-00007E000000}"/>
  <tableColumns count="5">
    <tableColumn id="1" xr3:uid="{00000000-0010-0000-7D00-000001000000}" name="Projeto"/>
    <tableColumn id="2" xr3:uid="{00000000-0010-0000-7D00-000002000000}" name="Vínculo"/>
    <tableColumn id="3" xr3:uid="{00000000-0010-0000-7D00-000003000000}" name="Elemento" totalsRowFunction="count"/>
    <tableColumn id="4" xr3:uid="{00000000-0010-0000-7D00-000004000000}" name="Id do Revit"/>
    <tableColumn id="5" xr3:uid="{00000000-0010-0000-7D00-000005000000}" name="Totais:" totalsRowFunction="sum"/>
  </tableColumns>
  <tableStyleInfo name="TableStyleLight4" showFirstColumn="0" showLastColumn="0" showRowStripes="1" showColumnStripes="0"/>
</table>
</file>

<file path=xl/tables/table1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7" xr:uid="{00000000-000C-0000-FFFF-FFFF7E000000}" name="Elements13_3_631" displayName="Elements13_3_631" ref="A6:E10" totalsRowCount="1" totalsRowCellStyle="styleRegular">
  <autoFilter ref="A6:E9" xr:uid="{00000000-0009-0000-0100-00007F000000}"/>
  <tableColumns count="5">
    <tableColumn id="1" xr3:uid="{00000000-0010-0000-7E00-000001000000}" name="Projeto"/>
    <tableColumn id="2" xr3:uid="{00000000-0010-0000-7E00-000002000000}" name="Vínculo"/>
    <tableColumn id="3" xr3:uid="{00000000-0010-0000-7E00-000003000000}" name="Elemento" totalsRowFunction="count"/>
    <tableColumn id="4" xr3:uid="{00000000-0010-0000-7E00-000004000000}" name="Id do Revit"/>
    <tableColumn id="5" xr3:uid="{00000000-0010-0000-7E00-000005000000}" name="Totais: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3.13" displayName="Criteria_Summary13.3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3.14" displayName="Criteria_Summary13.3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3.3.15" displayName="Criteria_Summary13.3.15" ref="A7:E10" totalsRowCount="1" totalsRowCellStyle="styleRegular">
  <autoFilter ref="A7:E9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3.3.16" displayName="Criteria_Summary13.3.16" ref="A7:E9" totalsRowCount="1" totalsRowCellStyle="styleRegular">
  <autoFilter ref="A7:E8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3.3.17" displayName="Criteria_Summary13.3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3.3.18" displayName="Criteria_Summary13.3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3.3.19" displayName="Criteria_Summary13.3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3.2" displayName="Criteria_Summary13.3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3.3.20" displayName="Criteria_Summary13.3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Criteria_Summary13.3.21" displayName="Criteria_Summary13.3.21" ref="A7:E9" totalsRowCount="1" totalsRowCellStyle="styleRegular">
  <autoFilter ref="A7:E8" xr:uid="{00000000-0009-0000-0100-000015000000}"/>
  <tableColumns count="5">
    <tableColumn id="1" xr3:uid="{00000000-0010-0000-1400-000001000000}" name="Item"/>
    <tableColumn id="2" xr3:uid="{00000000-0010-0000-1400-000002000000}" name="Tipo"/>
    <tableColumn id="3" xr3:uid="{00000000-0010-0000-1400-000003000000}" name="Elementos" totalsRowFunction="sum"/>
    <tableColumn id="4" xr3:uid="{00000000-0010-0000-1400-000004000000}" name="Nome do Subcritério"/>
    <tableColumn id="5" xr3:uid="{00000000-0010-0000-1400-000005000000}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Criteria_Summary13.3.22" displayName="Criteria_Summary13.3.22" ref="A7:E9" totalsRowCount="1" totalsRowCellStyle="styleRegular">
  <autoFilter ref="A7:E8" xr:uid="{00000000-0009-0000-0100-000016000000}"/>
  <tableColumns count="5">
    <tableColumn id="1" xr3:uid="{00000000-0010-0000-1500-000001000000}" name="Item"/>
    <tableColumn id="2" xr3:uid="{00000000-0010-0000-1500-000002000000}" name="Tipo"/>
    <tableColumn id="3" xr3:uid="{00000000-0010-0000-1500-000003000000}" name="Elementos" totalsRowFunction="sum"/>
    <tableColumn id="4" xr3:uid="{00000000-0010-0000-1500-000004000000}" name="Nome do Subcritério"/>
    <tableColumn id="5" xr3:uid="{00000000-0010-0000-1500-000005000000}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Criteria_Summary13.3.23" displayName="Criteria_Summary13.3.23" ref="A7:E9" totalsRowCount="1" totalsRowCellStyle="styleRegular">
  <autoFilter ref="A7:E8" xr:uid="{00000000-0009-0000-0100-000017000000}"/>
  <tableColumns count="5">
    <tableColumn id="1" xr3:uid="{00000000-0010-0000-1600-000001000000}" name="Item"/>
    <tableColumn id="2" xr3:uid="{00000000-0010-0000-1600-000002000000}" name="Tipo"/>
    <tableColumn id="3" xr3:uid="{00000000-0010-0000-1600-000003000000}" name="Elementos" totalsRowFunction="sum"/>
    <tableColumn id="4" xr3:uid="{00000000-0010-0000-1600-000004000000}" name="Nome do Subcritério"/>
    <tableColumn id="5" xr3:uid="{00000000-0010-0000-1600-000005000000}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Criteria_Summary13.3.24" displayName="Criteria_Summary13.3.24" ref="A7:E9" totalsRowCount="1" totalsRowCellStyle="styleRegular">
  <autoFilter ref="A7:E8" xr:uid="{00000000-0009-0000-0100-000018000000}"/>
  <tableColumns count="5">
    <tableColumn id="1" xr3:uid="{00000000-0010-0000-1700-000001000000}" name="Item"/>
    <tableColumn id="2" xr3:uid="{00000000-0010-0000-1700-000002000000}" name="Tipo"/>
    <tableColumn id="3" xr3:uid="{00000000-0010-0000-1700-000003000000}" name="Elementos" totalsRowFunction="sum"/>
    <tableColumn id="4" xr3:uid="{00000000-0010-0000-1700-000004000000}" name="Nome do Subcritério"/>
    <tableColumn id="5" xr3:uid="{00000000-0010-0000-1700-000005000000}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Criteria_Summary13.3.25" displayName="Criteria_Summary13.3.25" ref="A7:E9" totalsRowCount="1" totalsRowCellStyle="styleRegular">
  <autoFilter ref="A7:E8" xr:uid="{00000000-0009-0000-0100-000019000000}"/>
  <tableColumns count="5">
    <tableColumn id="1" xr3:uid="{00000000-0010-0000-1800-000001000000}" name="Item"/>
    <tableColumn id="2" xr3:uid="{00000000-0010-0000-1800-000002000000}" name="Tipo"/>
    <tableColumn id="3" xr3:uid="{00000000-0010-0000-1800-000003000000}" name="Elementos" totalsRowFunction="sum"/>
    <tableColumn id="4" xr3:uid="{00000000-0010-0000-1800-000004000000}" name="Nome do Subcritério"/>
    <tableColumn id="5" xr3:uid="{00000000-0010-0000-1800-000005000000}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Criteria_Summary13.3.26" displayName="Criteria_Summary13.3.26" ref="A7:E9" totalsRowCount="1" totalsRowCellStyle="styleRegular">
  <autoFilter ref="A7:E8" xr:uid="{00000000-0009-0000-0100-00001A000000}"/>
  <tableColumns count="5">
    <tableColumn id="1" xr3:uid="{00000000-0010-0000-1900-000001000000}" name="Item"/>
    <tableColumn id="2" xr3:uid="{00000000-0010-0000-1900-000002000000}" name="Tipo"/>
    <tableColumn id="3" xr3:uid="{00000000-0010-0000-1900-000003000000}" name="Elementos" totalsRowFunction="sum"/>
    <tableColumn id="4" xr3:uid="{00000000-0010-0000-1900-000004000000}" name="Nome do Subcritério"/>
    <tableColumn id="5" xr3:uid="{00000000-0010-0000-1900-000005000000}" name="Total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Criteria_Summary13.3.27" displayName="Criteria_Summary13.3.27" ref="A7:E9" totalsRowCount="1" totalsRowCellStyle="styleRegular">
  <autoFilter ref="A7:E8" xr:uid="{00000000-0009-0000-0100-00001B000000}"/>
  <tableColumns count="5">
    <tableColumn id="1" xr3:uid="{00000000-0010-0000-1A00-000001000000}" name="Item"/>
    <tableColumn id="2" xr3:uid="{00000000-0010-0000-1A00-000002000000}" name="Tipo"/>
    <tableColumn id="3" xr3:uid="{00000000-0010-0000-1A00-000003000000}" name="Elementos" totalsRowFunction="sum"/>
    <tableColumn id="4" xr3:uid="{00000000-0010-0000-1A00-000004000000}" name="Nome do Subcritério"/>
    <tableColumn id="5" xr3:uid="{00000000-0010-0000-1A00-000005000000}" name="Total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Criteria_Summary13.3.28" displayName="Criteria_Summary13.3.28" ref="A7:E9" totalsRowCount="1" totalsRowCellStyle="styleRegular">
  <autoFilter ref="A7:E8" xr:uid="{00000000-0009-0000-0100-00001C000000}"/>
  <tableColumns count="5">
    <tableColumn id="1" xr3:uid="{00000000-0010-0000-1B00-000001000000}" name="Item"/>
    <tableColumn id="2" xr3:uid="{00000000-0010-0000-1B00-000002000000}" name="Tipo"/>
    <tableColumn id="3" xr3:uid="{00000000-0010-0000-1B00-000003000000}" name="Elementos" totalsRowFunction="sum"/>
    <tableColumn id="4" xr3:uid="{00000000-0010-0000-1B00-000004000000}" name="Nome do Subcritério"/>
    <tableColumn id="5" xr3:uid="{00000000-0010-0000-1B00-000005000000}" name="Total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Criteria_Summary13.3.29" displayName="Criteria_Summary13.3.29" ref="A7:E9" totalsRowCount="1" totalsRowCellStyle="styleRegular">
  <autoFilter ref="A7:E8" xr:uid="{00000000-0009-0000-0100-00001D000000}"/>
  <tableColumns count="5">
    <tableColumn id="1" xr3:uid="{00000000-0010-0000-1C00-000001000000}" name="Item"/>
    <tableColumn id="2" xr3:uid="{00000000-0010-0000-1C00-000002000000}" name="Tipo"/>
    <tableColumn id="3" xr3:uid="{00000000-0010-0000-1C00-000003000000}" name="Elementos" totalsRowFunction="sum"/>
    <tableColumn id="4" xr3:uid="{00000000-0010-0000-1C00-000004000000}" name="Nome do Subcritério"/>
    <tableColumn id="5" xr3:uid="{00000000-0010-0000-1C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3.3" displayName="Criteria_Summary13.3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Criteria_Summary13.3.30" displayName="Criteria_Summary13.3.30" ref="A7:E9" totalsRowCount="1" totalsRowCellStyle="styleRegular">
  <autoFilter ref="A7:E8" xr:uid="{00000000-0009-0000-0100-00001E000000}"/>
  <tableColumns count="5">
    <tableColumn id="1" xr3:uid="{00000000-0010-0000-1D00-000001000000}" name="Item"/>
    <tableColumn id="2" xr3:uid="{00000000-0010-0000-1D00-000002000000}" name="Tipo"/>
    <tableColumn id="3" xr3:uid="{00000000-0010-0000-1D00-000003000000}" name="Elementos" totalsRowFunction="sum"/>
    <tableColumn id="4" xr3:uid="{00000000-0010-0000-1D00-000004000000}" name="Nome do Subcritério"/>
    <tableColumn id="5" xr3:uid="{00000000-0010-0000-1D00-000005000000}" name="Total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Criteria_Summary13.3.31" displayName="Criteria_Summary13.3.31" ref="A7:E9" totalsRowCount="1" totalsRowCellStyle="styleRegular">
  <autoFilter ref="A7:E8" xr:uid="{00000000-0009-0000-0100-00001F000000}"/>
  <tableColumns count="5">
    <tableColumn id="1" xr3:uid="{00000000-0010-0000-1E00-000001000000}" name="Item"/>
    <tableColumn id="2" xr3:uid="{00000000-0010-0000-1E00-000002000000}" name="Tipo"/>
    <tableColumn id="3" xr3:uid="{00000000-0010-0000-1E00-000003000000}" name="Elementos" totalsRowFunction="sum"/>
    <tableColumn id="4" xr3:uid="{00000000-0010-0000-1E00-000004000000}" name="Nome do Subcritério"/>
    <tableColumn id="5" xr3:uid="{00000000-0010-0000-1E00-000005000000}" name="Total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Criteria_Summary13.3.32" displayName="Criteria_Summary13.3.32" ref="A7:E9" totalsRowCount="1" totalsRowCellStyle="styleRegular">
  <autoFilter ref="A7:E8" xr:uid="{00000000-0009-0000-0100-000020000000}"/>
  <tableColumns count="5">
    <tableColumn id="1" xr3:uid="{00000000-0010-0000-1F00-000001000000}" name="Item"/>
    <tableColumn id="2" xr3:uid="{00000000-0010-0000-1F00-000002000000}" name="Tipo"/>
    <tableColumn id="3" xr3:uid="{00000000-0010-0000-1F00-000003000000}" name="Elementos" totalsRowFunction="sum"/>
    <tableColumn id="4" xr3:uid="{00000000-0010-0000-1F00-000004000000}" name="Nome do Subcritério"/>
    <tableColumn id="5" xr3:uid="{00000000-0010-0000-1F00-000005000000}" name="Total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Criteria_Summary13.3.33" displayName="Criteria_Summary13.3.33" ref="A7:E9" totalsRowCount="1" totalsRowCellStyle="styleRegular">
  <autoFilter ref="A7:E8" xr:uid="{00000000-0009-0000-0100-000021000000}"/>
  <tableColumns count="5">
    <tableColumn id="1" xr3:uid="{00000000-0010-0000-2000-000001000000}" name="Item"/>
    <tableColumn id="2" xr3:uid="{00000000-0010-0000-2000-000002000000}" name="Tipo"/>
    <tableColumn id="3" xr3:uid="{00000000-0010-0000-2000-000003000000}" name="Elementos" totalsRowFunction="sum"/>
    <tableColumn id="4" xr3:uid="{00000000-0010-0000-2000-000004000000}" name="Nome do Subcritério"/>
    <tableColumn id="5" xr3:uid="{00000000-0010-0000-2000-000005000000}" name="Total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Criteria_Summary13.3.34" displayName="Criteria_Summary13.3.34" ref="A7:E9" totalsRowCount="1" totalsRowCellStyle="styleRegular">
  <autoFilter ref="A7:E8" xr:uid="{00000000-0009-0000-0100-000022000000}"/>
  <tableColumns count="5">
    <tableColumn id="1" xr3:uid="{00000000-0010-0000-2100-000001000000}" name="Item"/>
    <tableColumn id="2" xr3:uid="{00000000-0010-0000-2100-000002000000}" name="Tipo"/>
    <tableColumn id="3" xr3:uid="{00000000-0010-0000-2100-000003000000}" name="Elementos" totalsRowFunction="sum"/>
    <tableColumn id="4" xr3:uid="{00000000-0010-0000-2100-000004000000}" name="Nome do Subcritério"/>
    <tableColumn id="5" xr3:uid="{00000000-0010-0000-2100-000005000000}" name="Total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Criteria_Summary13.3.35" displayName="Criteria_Summary13.3.35" ref="A7:E9" totalsRowCount="1" totalsRowCellStyle="styleRegular">
  <autoFilter ref="A7:E8" xr:uid="{00000000-0009-0000-0100-000023000000}"/>
  <tableColumns count="5">
    <tableColumn id="1" xr3:uid="{00000000-0010-0000-2200-000001000000}" name="Item"/>
    <tableColumn id="2" xr3:uid="{00000000-0010-0000-2200-000002000000}" name="Tipo"/>
    <tableColumn id="3" xr3:uid="{00000000-0010-0000-2200-000003000000}" name="Elementos" totalsRowFunction="sum"/>
    <tableColumn id="4" xr3:uid="{00000000-0010-0000-2200-000004000000}" name="Nome do Subcritério"/>
    <tableColumn id="5" xr3:uid="{00000000-0010-0000-2200-000005000000}" name="Total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Criteria_Summary13.3.36" displayName="Criteria_Summary13.3.36" ref="A7:E9" totalsRowCount="1" totalsRowCellStyle="styleRegular">
  <autoFilter ref="A7:E8" xr:uid="{00000000-0009-0000-0100-000024000000}"/>
  <tableColumns count="5">
    <tableColumn id="1" xr3:uid="{00000000-0010-0000-2300-000001000000}" name="Item"/>
    <tableColumn id="2" xr3:uid="{00000000-0010-0000-2300-000002000000}" name="Tipo"/>
    <tableColumn id="3" xr3:uid="{00000000-0010-0000-2300-000003000000}" name="Elementos" totalsRowFunction="sum"/>
    <tableColumn id="4" xr3:uid="{00000000-0010-0000-2300-000004000000}" name="Nome do Subcritério"/>
    <tableColumn id="5" xr3:uid="{00000000-0010-0000-2300-000005000000}" name="Total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Criteria_Summary13.3.37" displayName="Criteria_Summary13.3.37" ref="A7:E9" totalsRowCount="1" totalsRowCellStyle="styleRegular">
  <autoFilter ref="A7:E8" xr:uid="{00000000-0009-0000-0100-000025000000}"/>
  <tableColumns count="5">
    <tableColumn id="1" xr3:uid="{00000000-0010-0000-2400-000001000000}" name="Item"/>
    <tableColumn id="2" xr3:uid="{00000000-0010-0000-2400-000002000000}" name="Tipo"/>
    <tableColumn id="3" xr3:uid="{00000000-0010-0000-2400-000003000000}" name="Elementos" totalsRowFunction="sum"/>
    <tableColumn id="4" xr3:uid="{00000000-0010-0000-2400-000004000000}" name="Nome do Subcritério"/>
    <tableColumn id="5" xr3:uid="{00000000-0010-0000-2400-000005000000}" name="Total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Criteria_Summary13.3.38" displayName="Criteria_Summary13.3.38" ref="A7:E9" totalsRowCount="1" totalsRowCellStyle="styleRegular">
  <autoFilter ref="A7:E8" xr:uid="{00000000-0009-0000-0100-000026000000}"/>
  <tableColumns count="5">
    <tableColumn id="1" xr3:uid="{00000000-0010-0000-2500-000001000000}" name="Item"/>
    <tableColumn id="2" xr3:uid="{00000000-0010-0000-2500-000002000000}" name="Tipo"/>
    <tableColumn id="3" xr3:uid="{00000000-0010-0000-2500-000003000000}" name="Elementos" totalsRowFunction="sum"/>
    <tableColumn id="4" xr3:uid="{00000000-0010-0000-2500-000004000000}" name="Nome do Subcritério"/>
    <tableColumn id="5" xr3:uid="{00000000-0010-0000-2500-000005000000}" name="Total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Criteria_Summary13.3.39" displayName="Criteria_Summary13.3.39" ref="A7:E9" totalsRowCount="1" totalsRowCellStyle="styleRegular">
  <autoFilter ref="A7:E8" xr:uid="{00000000-0009-0000-0100-000027000000}"/>
  <tableColumns count="5">
    <tableColumn id="1" xr3:uid="{00000000-0010-0000-2600-000001000000}" name="Item"/>
    <tableColumn id="2" xr3:uid="{00000000-0010-0000-2600-000002000000}" name="Tipo"/>
    <tableColumn id="3" xr3:uid="{00000000-0010-0000-2600-000003000000}" name="Elementos" totalsRowFunction="sum"/>
    <tableColumn id="4" xr3:uid="{00000000-0010-0000-2600-000004000000}" name="Nome do Subcritério"/>
    <tableColumn id="5" xr3:uid="{00000000-0010-0000-26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3.4" displayName="Criteria_Summary13.3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Criteria_Summary13.3.40" displayName="Criteria_Summary13.3.40" ref="A7:E9" totalsRowCount="1" totalsRowCellStyle="styleRegular">
  <autoFilter ref="A7:E8" xr:uid="{00000000-0009-0000-0100-000028000000}"/>
  <tableColumns count="5">
    <tableColumn id="1" xr3:uid="{00000000-0010-0000-2700-000001000000}" name="Item"/>
    <tableColumn id="2" xr3:uid="{00000000-0010-0000-2700-000002000000}" name="Tipo"/>
    <tableColumn id="3" xr3:uid="{00000000-0010-0000-2700-000003000000}" name="Elementos" totalsRowFunction="sum"/>
    <tableColumn id="4" xr3:uid="{00000000-0010-0000-2700-000004000000}" name="Nome do Subcritério"/>
    <tableColumn id="5" xr3:uid="{00000000-0010-0000-2700-000005000000}" name="Total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Criteria_Summary13.3.41" displayName="Criteria_Summary13.3.41" ref="A7:E9" totalsRowCount="1" totalsRowCellStyle="styleRegular">
  <autoFilter ref="A7:E8" xr:uid="{00000000-0009-0000-0100-000029000000}"/>
  <tableColumns count="5">
    <tableColumn id="1" xr3:uid="{00000000-0010-0000-2800-000001000000}" name="Item"/>
    <tableColumn id="2" xr3:uid="{00000000-0010-0000-2800-000002000000}" name="Tipo"/>
    <tableColumn id="3" xr3:uid="{00000000-0010-0000-2800-000003000000}" name="Elementos" totalsRowFunction="sum"/>
    <tableColumn id="4" xr3:uid="{00000000-0010-0000-2800-000004000000}" name="Nome do Subcritério"/>
    <tableColumn id="5" xr3:uid="{00000000-0010-0000-2800-000005000000}" name="Total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Criteria_Summary13.3.42" displayName="Criteria_Summary13.3.42" ref="A7:E9" totalsRowCount="1" totalsRowCellStyle="styleRegular">
  <autoFilter ref="A7:E8" xr:uid="{00000000-0009-0000-0100-00002A000000}"/>
  <tableColumns count="5">
    <tableColumn id="1" xr3:uid="{00000000-0010-0000-2900-000001000000}" name="Item"/>
    <tableColumn id="2" xr3:uid="{00000000-0010-0000-2900-000002000000}" name="Tipo"/>
    <tableColumn id="3" xr3:uid="{00000000-0010-0000-2900-000003000000}" name="Elementos" totalsRowFunction="sum"/>
    <tableColumn id="4" xr3:uid="{00000000-0010-0000-2900-000004000000}" name="Nome do Subcritério"/>
    <tableColumn id="5" xr3:uid="{00000000-0010-0000-2900-000005000000}" name="Total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Criteria_Summary13.3.43" displayName="Criteria_Summary13.3.43" ref="A7:E9" totalsRowCount="1" totalsRowCellStyle="styleRegular">
  <autoFilter ref="A7:E8" xr:uid="{00000000-0009-0000-0100-00002B000000}"/>
  <tableColumns count="5">
    <tableColumn id="1" xr3:uid="{00000000-0010-0000-2A00-000001000000}" name="Item"/>
    <tableColumn id="2" xr3:uid="{00000000-0010-0000-2A00-000002000000}" name="Tipo"/>
    <tableColumn id="3" xr3:uid="{00000000-0010-0000-2A00-000003000000}" name="Elementos" totalsRowFunction="sum"/>
    <tableColumn id="4" xr3:uid="{00000000-0010-0000-2A00-000004000000}" name="Nome do Subcritério"/>
    <tableColumn id="5" xr3:uid="{00000000-0010-0000-2A00-000005000000}" name="Total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Criteria_Summary13.3.44" displayName="Criteria_Summary13.3.44" ref="A7:E9" totalsRowCount="1" totalsRowCellStyle="styleRegular">
  <autoFilter ref="A7:E8" xr:uid="{00000000-0009-0000-0100-00002C000000}"/>
  <tableColumns count="5">
    <tableColumn id="1" xr3:uid="{00000000-0010-0000-2B00-000001000000}" name="Item"/>
    <tableColumn id="2" xr3:uid="{00000000-0010-0000-2B00-000002000000}" name="Tipo"/>
    <tableColumn id="3" xr3:uid="{00000000-0010-0000-2B00-000003000000}" name="Elementos" totalsRowFunction="sum"/>
    <tableColumn id="4" xr3:uid="{00000000-0010-0000-2B00-000004000000}" name="Nome do Subcritério"/>
    <tableColumn id="5" xr3:uid="{00000000-0010-0000-2B00-000005000000}" name="Total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Criteria_Summary13.3.45" displayName="Criteria_Summary13.3.45" ref="A7:E9" totalsRowCount="1" totalsRowCellStyle="styleRegular">
  <autoFilter ref="A7:E8" xr:uid="{00000000-0009-0000-0100-00002D000000}"/>
  <tableColumns count="5">
    <tableColumn id="1" xr3:uid="{00000000-0010-0000-2C00-000001000000}" name="Item"/>
    <tableColumn id="2" xr3:uid="{00000000-0010-0000-2C00-000002000000}" name="Tipo"/>
    <tableColumn id="3" xr3:uid="{00000000-0010-0000-2C00-000003000000}" name="Elementos" totalsRowFunction="sum"/>
    <tableColumn id="4" xr3:uid="{00000000-0010-0000-2C00-000004000000}" name="Nome do Subcritério"/>
    <tableColumn id="5" xr3:uid="{00000000-0010-0000-2C00-000005000000}" name="Total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Criteria_Summary13.3.46" displayName="Criteria_Summary13.3.46" ref="A7:E9" totalsRowCount="1" totalsRowCellStyle="styleRegular">
  <autoFilter ref="A7:E8" xr:uid="{00000000-0009-0000-0100-00002E000000}"/>
  <tableColumns count="5">
    <tableColumn id="1" xr3:uid="{00000000-0010-0000-2D00-000001000000}" name="Item"/>
    <tableColumn id="2" xr3:uid="{00000000-0010-0000-2D00-000002000000}" name="Tipo"/>
    <tableColumn id="3" xr3:uid="{00000000-0010-0000-2D00-000003000000}" name="Elementos" totalsRowFunction="sum"/>
    <tableColumn id="4" xr3:uid="{00000000-0010-0000-2D00-000004000000}" name="Nome do Subcritério"/>
    <tableColumn id="5" xr3:uid="{00000000-0010-0000-2D00-000005000000}" name="Total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Criteria_Summary13.3.47" displayName="Criteria_Summary13.3.47" ref="A7:E9" totalsRowCount="1" totalsRowCellStyle="styleRegular">
  <autoFilter ref="A7:E8" xr:uid="{00000000-0009-0000-0100-00002F000000}"/>
  <tableColumns count="5">
    <tableColumn id="1" xr3:uid="{00000000-0010-0000-2E00-000001000000}" name="Item"/>
    <tableColumn id="2" xr3:uid="{00000000-0010-0000-2E00-000002000000}" name="Tipo"/>
    <tableColumn id="3" xr3:uid="{00000000-0010-0000-2E00-000003000000}" name="Elementos" totalsRowFunction="sum"/>
    <tableColumn id="4" xr3:uid="{00000000-0010-0000-2E00-000004000000}" name="Nome do Subcritério"/>
    <tableColumn id="5" xr3:uid="{00000000-0010-0000-2E00-000005000000}" name="Total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Criteria_Summary13.3.48" displayName="Criteria_Summary13.3.48" ref="A7:E9" totalsRowCount="1" totalsRowCellStyle="styleRegular">
  <autoFilter ref="A7:E8" xr:uid="{00000000-0009-0000-0100-000030000000}"/>
  <tableColumns count="5">
    <tableColumn id="1" xr3:uid="{00000000-0010-0000-2F00-000001000000}" name="Item"/>
    <tableColumn id="2" xr3:uid="{00000000-0010-0000-2F00-000002000000}" name="Tipo"/>
    <tableColumn id="3" xr3:uid="{00000000-0010-0000-2F00-000003000000}" name="Elementos" totalsRowFunction="sum"/>
    <tableColumn id="4" xr3:uid="{00000000-0010-0000-2F00-000004000000}" name="Nome do Subcritério"/>
    <tableColumn id="5" xr3:uid="{00000000-0010-0000-2F00-000005000000}" name="Total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Criteria_Summary13.3.49" displayName="Criteria_Summary13.3.49" ref="A7:E9" totalsRowCount="1" totalsRowCellStyle="styleRegular">
  <autoFilter ref="A7:E8" xr:uid="{00000000-0009-0000-0100-000031000000}"/>
  <tableColumns count="5">
    <tableColumn id="1" xr3:uid="{00000000-0010-0000-3000-000001000000}" name="Item"/>
    <tableColumn id="2" xr3:uid="{00000000-0010-0000-3000-000002000000}" name="Tipo"/>
    <tableColumn id="3" xr3:uid="{00000000-0010-0000-3000-000003000000}" name="Elementos" totalsRowFunction="sum"/>
    <tableColumn id="4" xr3:uid="{00000000-0010-0000-3000-000004000000}" name="Nome do Subcritério"/>
    <tableColumn id="5" xr3:uid="{00000000-0010-0000-3000-000005000000}" name="Total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3.5" displayName="Criteria_Summary13.3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Criteria_Summary13.3.50" displayName="Criteria_Summary13.3.50" ref="A7:E9" totalsRowCount="1" totalsRowCellStyle="styleRegular">
  <autoFilter ref="A7:E8" xr:uid="{00000000-0009-0000-0100-000032000000}"/>
  <tableColumns count="5">
    <tableColumn id="1" xr3:uid="{00000000-0010-0000-3100-000001000000}" name="Item"/>
    <tableColumn id="2" xr3:uid="{00000000-0010-0000-3100-000002000000}" name="Tipo"/>
    <tableColumn id="3" xr3:uid="{00000000-0010-0000-3100-000003000000}" name="Elementos" totalsRowFunction="sum"/>
    <tableColumn id="4" xr3:uid="{00000000-0010-0000-3100-000004000000}" name="Nome do Subcritério"/>
    <tableColumn id="5" xr3:uid="{00000000-0010-0000-3100-000005000000}" name="Total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32000000}" name="Criteria_Summary13.3.51" displayName="Criteria_Summary13.3.51" ref="A7:E9" totalsRowCount="1" totalsRowCellStyle="styleRegular">
  <autoFilter ref="A7:E8" xr:uid="{00000000-0009-0000-0100-000033000000}"/>
  <tableColumns count="5">
    <tableColumn id="1" xr3:uid="{00000000-0010-0000-3200-000001000000}" name="Item"/>
    <tableColumn id="2" xr3:uid="{00000000-0010-0000-3200-000002000000}" name="Tipo"/>
    <tableColumn id="3" xr3:uid="{00000000-0010-0000-3200-000003000000}" name="Elementos" totalsRowFunction="sum"/>
    <tableColumn id="4" xr3:uid="{00000000-0010-0000-3200-000004000000}" name="Nome do Subcritério"/>
    <tableColumn id="5" xr3:uid="{00000000-0010-0000-3200-000005000000}" name="Total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33000000}" name="Criteria_Summary13.3.52" displayName="Criteria_Summary13.3.52" ref="A7:E9" totalsRowCount="1" totalsRowCellStyle="styleRegular">
  <autoFilter ref="A7:E8" xr:uid="{00000000-0009-0000-0100-000034000000}"/>
  <tableColumns count="5">
    <tableColumn id="1" xr3:uid="{00000000-0010-0000-3300-000001000000}" name="Item"/>
    <tableColumn id="2" xr3:uid="{00000000-0010-0000-3300-000002000000}" name="Tipo"/>
    <tableColumn id="3" xr3:uid="{00000000-0010-0000-3300-000003000000}" name="Elementos" totalsRowFunction="sum"/>
    <tableColumn id="4" xr3:uid="{00000000-0010-0000-3300-000004000000}" name="Nome do Subcritério"/>
    <tableColumn id="5" xr3:uid="{00000000-0010-0000-3300-000005000000}" name="Total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4000000}" name="Criteria_Summary13.3.53" displayName="Criteria_Summary13.3.53" ref="A7:E9" totalsRowCount="1" totalsRowCellStyle="styleRegular">
  <autoFilter ref="A7:E8" xr:uid="{00000000-0009-0000-0100-000035000000}"/>
  <tableColumns count="5">
    <tableColumn id="1" xr3:uid="{00000000-0010-0000-3400-000001000000}" name="Item"/>
    <tableColumn id="2" xr3:uid="{00000000-0010-0000-3400-000002000000}" name="Tipo"/>
    <tableColumn id="3" xr3:uid="{00000000-0010-0000-3400-000003000000}" name="Elementos" totalsRowFunction="sum"/>
    <tableColumn id="4" xr3:uid="{00000000-0010-0000-3400-000004000000}" name="Nome do Subcritério"/>
    <tableColumn id="5" xr3:uid="{00000000-0010-0000-3400-000005000000}" name="Total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5000000}" name="Criteria_Summary13.3.54" displayName="Criteria_Summary13.3.54" ref="A7:E9" totalsRowCount="1" totalsRowCellStyle="styleRegular">
  <autoFilter ref="A7:E8" xr:uid="{00000000-0009-0000-0100-000036000000}"/>
  <tableColumns count="5">
    <tableColumn id="1" xr3:uid="{00000000-0010-0000-3500-000001000000}" name="Item"/>
    <tableColumn id="2" xr3:uid="{00000000-0010-0000-3500-000002000000}" name="Tipo"/>
    <tableColumn id="3" xr3:uid="{00000000-0010-0000-3500-000003000000}" name="Elementos" totalsRowFunction="sum"/>
    <tableColumn id="4" xr3:uid="{00000000-0010-0000-3500-000004000000}" name="Nome do Subcritério"/>
    <tableColumn id="5" xr3:uid="{00000000-0010-0000-3500-000005000000}" name="Total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6000000}" name="Criteria_Summary13.3.55" displayName="Criteria_Summary13.3.55" ref="A7:E9" totalsRowCount="1" totalsRowCellStyle="styleRegular">
  <autoFilter ref="A7:E8" xr:uid="{00000000-0009-0000-0100-000037000000}"/>
  <tableColumns count="5">
    <tableColumn id="1" xr3:uid="{00000000-0010-0000-3600-000001000000}" name="Item"/>
    <tableColumn id="2" xr3:uid="{00000000-0010-0000-3600-000002000000}" name="Tipo"/>
    <tableColumn id="3" xr3:uid="{00000000-0010-0000-3600-000003000000}" name="Elementos" totalsRowFunction="sum"/>
    <tableColumn id="4" xr3:uid="{00000000-0010-0000-3600-000004000000}" name="Nome do Subcritério"/>
    <tableColumn id="5" xr3:uid="{00000000-0010-0000-3600-000005000000}" name="Total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7000000}" name="Criteria_Summary13.3.56" displayName="Criteria_Summary13.3.56" ref="A7:E9" totalsRowCount="1" totalsRowCellStyle="styleRegular">
  <autoFilter ref="A7:E8" xr:uid="{00000000-0009-0000-0100-000038000000}"/>
  <tableColumns count="5">
    <tableColumn id="1" xr3:uid="{00000000-0010-0000-3700-000001000000}" name="Item"/>
    <tableColumn id="2" xr3:uid="{00000000-0010-0000-3700-000002000000}" name="Tipo"/>
    <tableColumn id="3" xr3:uid="{00000000-0010-0000-3700-000003000000}" name="Elementos" totalsRowFunction="sum"/>
    <tableColumn id="4" xr3:uid="{00000000-0010-0000-3700-000004000000}" name="Nome do Subcritério"/>
    <tableColumn id="5" xr3:uid="{00000000-0010-0000-3700-000005000000}" name="Total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8000000}" name="Criteria_Summary13.3.57" displayName="Criteria_Summary13.3.57" ref="A7:E9" totalsRowCount="1" totalsRowCellStyle="styleRegular">
  <autoFilter ref="A7:E8" xr:uid="{00000000-0009-0000-0100-000039000000}"/>
  <tableColumns count="5">
    <tableColumn id="1" xr3:uid="{00000000-0010-0000-3800-000001000000}" name="Item"/>
    <tableColumn id="2" xr3:uid="{00000000-0010-0000-3800-000002000000}" name="Tipo"/>
    <tableColumn id="3" xr3:uid="{00000000-0010-0000-3800-000003000000}" name="Elementos" totalsRowFunction="sum"/>
    <tableColumn id="4" xr3:uid="{00000000-0010-0000-3800-000004000000}" name="Nome do Subcritério"/>
    <tableColumn id="5" xr3:uid="{00000000-0010-0000-3800-000005000000}" name="Total" totalsRowFunction="sum"/>
  </tableColumns>
  <tableStyleInfo name="TableStyleLight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9000000}" name="Criteria_Summary13.3.58" displayName="Criteria_Summary13.3.58" ref="A7:E9" totalsRowCount="1" totalsRowCellStyle="styleRegular">
  <autoFilter ref="A7:E8" xr:uid="{00000000-0009-0000-0100-00003A000000}"/>
  <tableColumns count="5">
    <tableColumn id="1" xr3:uid="{00000000-0010-0000-3900-000001000000}" name="Item"/>
    <tableColumn id="2" xr3:uid="{00000000-0010-0000-3900-000002000000}" name="Tipo"/>
    <tableColumn id="3" xr3:uid="{00000000-0010-0000-3900-000003000000}" name="Elementos" totalsRowFunction="sum"/>
    <tableColumn id="4" xr3:uid="{00000000-0010-0000-3900-000004000000}" name="Nome do Subcritério"/>
    <tableColumn id="5" xr3:uid="{00000000-0010-0000-3900-000005000000}" name="Total" totalsRowFunction="sum"/>
  </tableColumns>
  <tableStyleInfo name="TableStyleLight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A000000}" name="Criteria_Summary13.3.59" displayName="Criteria_Summary13.3.59" ref="A7:E9" totalsRowCount="1" totalsRowCellStyle="styleRegular">
  <autoFilter ref="A7:E8" xr:uid="{00000000-0009-0000-0100-00003B000000}"/>
  <tableColumns count="5">
    <tableColumn id="1" xr3:uid="{00000000-0010-0000-3A00-000001000000}" name="Item"/>
    <tableColumn id="2" xr3:uid="{00000000-0010-0000-3A00-000002000000}" name="Tipo"/>
    <tableColumn id="3" xr3:uid="{00000000-0010-0000-3A00-000003000000}" name="Elementos" totalsRowFunction="sum"/>
    <tableColumn id="4" xr3:uid="{00000000-0010-0000-3A00-000004000000}" name="Nome do Subcritério"/>
    <tableColumn id="5" xr3:uid="{00000000-0010-0000-3A00-000005000000}" name="Total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3.6" displayName="Criteria_Summary13.3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B000000}" name="Criteria_Summary13.3.60" displayName="Criteria_Summary13.3.60" ref="A7:E9" totalsRowCount="1" totalsRowCellStyle="styleRegular">
  <autoFilter ref="A7:E8" xr:uid="{00000000-0009-0000-0100-00003C000000}"/>
  <tableColumns count="5">
    <tableColumn id="1" xr3:uid="{00000000-0010-0000-3B00-000001000000}" name="Item"/>
    <tableColumn id="2" xr3:uid="{00000000-0010-0000-3B00-000002000000}" name="Tipo"/>
    <tableColumn id="3" xr3:uid="{00000000-0010-0000-3B00-000003000000}" name="Elementos" totalsRowFunction="sum"/>
    <tableColumn id="4" xr3:uid="{00000000-0010-0000-3B00-000004000000}" name="Nome do Subcritério"/>
    <tableColumn id="5" xr3:uid="{00000000-0010-0000-3B00-000005000000}" name="Total" totalsRowFunction="sum"/>
  </tableColumns>
  <tableStyleInfo name="TableStyleLight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C000000}" name="Criteria_Summary13.3.61" displayName="Criteria_Summary13.3.61" ref="A7:E9" totalsRowCount="1" totalsRowCellStyle="styleRegular">
  <autoFilter ref="A7:E8" xr:uid="{00000000-0009-0000-0100-00003D000000}"/>
  <tableColumns count="5">
    <tableColumn id="1" xr3:uid="{00000000-0010-0000-3C00-000001000000}" name="Item"/>
    <tableColumn id="2" xr3:uid="{00000000-0010-0000-3C00-000002000000}" name="Tipo"/>
    <tableColumn id="3" xr3:uid="{00000000-0010-0000-3C00-000003000000}" name="Elementos" totalsRowFunction="sum"/>
    <tableColumn id="4" xr3:uid="{00000000-0010-0000-3C00-000004000000}" name="Nome do Subcritério"/>
    <tableColumn id="5" xr3:uid="{00000000-0010-0000-3C00-000005000000}" name="Total" totalsRowFunction="sum"/>
  </tableColumns>
  <tableStyleInfo name="TableStyleLight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3D000000}" name="Criteria_Summary13.3.62" displayName="Criteria_Summary13.3.62" ref="A7:E9" totalsRowCount="1" totalsRowCellStyle="styleRegular">
  <autoFilter ref="A7:E8" xr:uid="{00000000-0009-0000-0100-00003E000000}"/>
  <tableColumns count="5">
    <tableColumn id="1" xr3:uid="{00000000-0010-0000-3D00-000001000000}" name="Item"/>
    <tableColumn id="2" xr3:uid="{00000000-0010-0000-3D00-000002000000}" name="Tipo"/>
    <tableColumn id="3" xr3:uid="{00000000-0010-0000-3D00-000003000000}" name="Elementos" totalsRowFunction="sum"/>
    <tableColumn id="4" xr3:uid="{00000000-0010-0000-3D00-000004000000}" name="Nome do Subcritério"/>
    <tableColumn id="5" xr3:uid="{00000000-0010-0000-3D00-000005000000}" name="Total" totalsRowFunction="sum"/>
  </tableColumns>
  <tableStyleInfo name="TableStyleLight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E000000}" name="Criteria_Summary13.3.63" displayName="Criteria_Summary13.3.63" ref="A7:E9" totalsRowCount="1" totalsRowCellStyle="styleRegular">
  <autoFilter ref="A7:E8" xr:uid="{00000000-0009-0000-0100-00003F000000}"/>
  <tableColumns count="5">
    <tableColumn id="1" xr3:uid="{00000000-0010-0000-3E00-000001000000}" name="Item"/>
    <tableColumn id="2" xr3:uid="{00000000-0010-0000-3E00-000002000000}" name="Tipo"/>
    <tableColumn id="3" xr3:uid="{00000000-0010-0000-3E00-000003000000}" name="Elementos" totalsRowFunction="sum"/>
    <tableColumn id="4" xr3:uid="{00000000-0010-0000-3E00-000004000000}" name="Nome do Subcritério"/>
    <tableColumn id="5" xr3:uid="{00000000-0010-0000-3E00-000005000000}" name="Total" totalsRowFunction="sum"/>
  </tableColumns>
  <tableStyleInfo name="TableStyleLight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F000000}" name="Elements13_3_11" displayName="Elements13_3_11" ref="A6:E25" totalsRowCount="1" totalsRowCellStyle="styleRegular">
  <autoFilter ref="A6:E24" xr:uid="{00000000-0009-0000-0100-000040000000}"/>
  <tableColumns count="5">
    <tableColumn id="1" xr3:uid="{00000000-0010-0000-3F00-000001000000}" name="Projeto"/>
    <tableColumn id="2" xr3:uid="{00000000-0010-0000-3F00-000002000000}" name="Vínculo"/>
    <tableColumn id="3" xr3:uid="{00000000-0010-0000-3F00-000003000000}" name="Elemento" totalsRowFunction="count"/>
    <tableColumn id="4" xr3:uid="{00000000-0010-0000-3F00-000004000000}" name="Id do Revit"/>
    <tableColumn id="5" xr3:uid="{00000000-0010-0000-3F00-000005000000}" name="Totais:" totalsRowFunction="sum"/>
  </tableColumns>
  <tableStyleInfo name="TableStyleLight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40000000}" name="Elements13_3_21" displayName="Elements13_3_21" ref="A6:E31" totalsRowCount="1" totalsRowCellStyle="styleRegular">
  <autoFilter ref="A6:E30" xr:uid="{00000000-0009-0000-0100-000041000000}"/>
  <tableColumns count="5">
    <tableColumn id="1" xr3:uid="{00000000-0010-0000-4000-000001000000}" name="Projeto"/>
    <tableColumn id="2" xr3:uid="{00000000-0010-0000-4000-000002000000}" name="Vínculo"/>
    <tableColumn id="3" xr3:uid="{00000000-0010-0000-4000-000003000000}" name="Elemento" totalsRowFunction="count"/>
    <tableColumn id="4" xr3:uid="{00000000-0010-0000-4000-000004000000}" name="Id do Revit"/>
    <tableColumn id="5" xr3:uid="{00000000-0010-0000-4000-000005000000}" name="Totais:" totalsRowFunction="sum"/>
  </tableColumns>
  <tableStyleInfo name="TableStyleLight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41000000}" name="Elements13_3_31" displayName="Elements13_3_31" ref="A6:E10" totalsRowCount="1" totalsRowCellStyle="styleRegular">
  <autoFilter ref="A6:E9" xr:uid="{00000000-0009-0000-0100-000042000000}"/>
  <tableColumns count="5">
    <tableColumn id="1" xr3:uid="{00000000-0010-0000-4100-000001000000}" name="Projeto"/>
    <tableColumn id="2" xr3:uid="{00000000-0010-0000-4100-000002000000}" name="Vínculo"/>
    <tableColumn id="3" xr3:uid="{00000000-0010-0000-4100-000003000000}" name="Elemento" totalsRowFunction="count"/>
    <tableColumn id="4" xr3:uid="{00000000-0010-0000-4100-000004000000}" name="Id do Revit"/>
    <tableColumn id="5" xr3:uid="{00000000-0010-0000-4100-000005000000}" name="Totais:" totalsRowFunction="sum"/>
  </tableColumns>
  <tableStyleInfo name="TableStyleLight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42000000}" name="Elements13_3_41" displayName="Elements13_3_41" ref="A6:E8" totalsRowCount="1" totalsRowCellStyle="styleRegular">
  <autoFilter ref="A6:E7" xr:uid="{00000000-0009-0000-0100-000043000000}"/>
  <tableColumns count="5">
    <tableColumn id="1" xr3:uid="{00000000-0010-0000-4200-000001000000}" name="Projeto"/>
    <tableColumn id="2" xr3:uid="{00000000-0010-0000-4200-000002000000}" name="Vínculo"/>
    <tableColumn id="3" xr3:uid="{00000000-0010-0000-4200-000003000000}" name="Elemento" totalsRowFunction="count"/>
    <tableColumn id="4" xr3:uid="{00000000-0010-0000-4200-000004000000}" name="Id do Revit"/>
    <tableColumn id="5" xr3:uid="{00000000-0010-0000-4200-000005000000}" name="Totais:" totalsRowFunction="sum"/>
  </tableColumns>
  <tableStyleInfo name="TableStyleLight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43000000}" name="Elements13_3_51" displayName="Elements13_3_51" ref="A6:E33" totalsRowCount="1" totalsRowCellStyle="styleRegular">
  <autoFilter ref="A6:E32" xr:uid="{00000000-0009-0000-0100-000044000000}"/>
  <tableColumns count="5">
    <tableColumn id="1" xr3:uid="{00000000-0010-0000-4300-000001000000}" name="Projeto"/>
    <tableColumn id="2" xr3:uid="{00000000-0010-0000-4300-000002000000}" name="Vínculo"/>
    <tableColumn id="3" xr3:uid="{00000000-0010-0000-4300-000003000000}" name="Elemento" totalsRowFunction="count"/>
    <tableColumn id="4" xr3:uid="{00000000-0010-0000-4300-000004000000}" name="Id do Revit"/>
    <tableColumn id="5" xr3:uid="{00000000-0010-0000-4300-000005000000}" name="Totais:" totalsRowFunction="sum"/>
  </tableColumns>
  <tableStyleInfo name="TableStyleLight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44000000}" name="Elements13_3_61" displayName="Elements13_3_61" ref="A6:E29" totalsRowCount="1" totalsRowCellStyle="styleRegular">
  <autoFilter ref="A6:E28" xr:uid="{00000000-0009-0000-0100-000045000000}"/>
  <tableColumns count="5">
    <tableColumn id="1" xr3:uid="{00000000-0010-0000-4400-000001000000}" name="Projeto"/>
    <tableColumn id="2" xr3:uid="{00000000-0010-0000-4400-000002000000}" name="Vínculo"/>
    <tableColumn id="3" xr3:uid="{00000000-0010-0000-4400-000003000000}" name="Elemento" totalsRowFunction="count"/>
    <tableColumn id="4" xr3:uid="{00000000-0010-0000-4400-000004000000}" name="Id do Revit"/>
    <tableColumn id="5" xr3:uid="{00000000-0010-0000-4400-000005000000}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3.7" displayName="Criteria_Summary13.3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45000000}" name="Elements13_3_71" displayName="Elements13_3_71" ref="A6:E178" totalsRowCount="1" totalsRowCellStyle="styleRegular">
  <autoFilter ref="A6:E177" xr:uid="{00000000-0009-0000-0100-000046000000}"/>
  <tableColumns count="5">
    <tableColumn id="1" xr3:uid="{00000000-0010-0000-4500-000001000000}" name="Projeto"/>
    <tableColumn id="2" xr3:uid="{00000000-0010-0000-4500-000002000000}" name="Vínculo"/>
    <tableColumn id="3" xr3:uid="{00000000-0010-0000-4500-000003000000}" name="Elemento" totalsRowFunction="count"/>
    <tableColumn id="4" xr3:uid="{00000000-0010-0000-4500-000004000000}" name="Id do Revit"/>
    <tableColumn id="5" xr3:uid="{00000000-0010-0000-4500-000005000000}" name="Totais:" totalsRowFunction="sum"/>
  </tableColumns>
  <tableStyleInfo name="TableStyleLight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46000000}" name="Elements13_3_81" displayName="Elements13_3_81" ref="A6:E9" totalsRowCount="1" totalsRowCellStyle="styleRegular">
  <autoFilter ref="A6:E8" xr:uid="{00000000-0009-0000-0100-000047000000}"/>
  <tableColumns count="5">
    <tableColumn id="1" xr3:uid="{00000000-0010-0000-4600-000001000000}" name="Projeto"/>
    <tableColumn id="2" xr3:uid="{00000000-0010-0000-4600-000002000000}" name="Vínculo"/>
    <tableColumn id="3" xr3:uid="{00000000-0010-0000-4600-000003000000}" name="Elemento" totalsRowFunction="count"/>
    <tableColumn id="4" xr3:uid="{00000000-0010-0000-4600-000004000000}" name="Id do Revit"/>
    <tableColumn id="5" xr3:uid="{00000000-0010-0000-4600-000005000000}" name="Totais:" totalsRowFunction="sum"/>
  </tableColumns>
  <tableStyleInfo name="TableStyleLight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47000000}" name="Elements13_3_91" displayName="Elements13_3_91" ref="A6:E8" totalsRowCount="1" totalsRowCellStyle="styleRegular">
  <autoFilter ref="A6:E7" xr:uid="{00000000-0009-0000-0100-000048000000}"/>
  <tableColumns count="5">
    <tableColumn id="1" xr3:uid="{00000000-0010-0000-4700-000001000000}" name="Projeto"/>
    <tableColumn id="2" xr3:uid="{00000000-0010-0000-4700-000002000000}" name="Vínculo"/>
    <tableColumn id="3" xr3:uid="{00000000-0010-0000-4700-000003000000}" name="Elemento" totalsRowFunction="count"/>
    <tableColumn id="4" xr3:uid="{00000000-0010-0000-4700-000004000000}" name="Id do Revit"/>
    <tableColumn id="5" xr3:uid="{00000000-0010-0000-4700-000005000000}" name="Totais:" totalsRowFunction="sum"/>
  </tableColumns>
  <tableStyleInfo name="TableStyleLight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8000000}" name="Elements13_3_101" displayName="Elements13_3_101" ref="A6:E36" totalsRowCount="1" totalsRowCellStyle="styleRegular">
  <autoFilter ref="A6:E35" xr:uid="{00000000-0009-0000-0100-000049000000}"/>
  <tableColumns count="5">
    <tableColumn id="1" xr3:uid="{00000000-0010-0000-4800-000001000000}" name="Projeto"/>
    <tableColumn id="2" xr3:uid="{00000000-0010-0000-4800-000002000000}" name="Vínculo"/>
    <tableColumn id="3" xr3:uid="{00000000-0010-0000-4800-000003000000}" name="Elemento" totalsRowFunction="count"/>
    <tableColumn id="4" xr3:uid="{00000000-0010-0000-4800-000004000000}" name="Id do Revit"/>
    <tableColumn id="5" xr3:uid="{00000000-0010-0000-4800-000005000000}" name="Totais:" totalsRowFunction="sum"/>
  </tableColumns>
  <tableStyleInfo name="TableStyleLight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9000000}" name="Elements13_3_111" displayName="Elements13_3_111" ref="A6:E19" totalsRowCount="1" totalsRowCellStyle="styleRegular">
  <autoFilter ref="A6:E18" xr:uid="{00000000-0009-0000-0100-00004A000000}"/>
  <tableColumns count="5">
    <tableColumn id="1" xr3:uid="{00000000-0010-0000-4900-000001000000}" name="Projeto"/>
    <tableColumn id="2" xr3:uid="{00000000-0010-0000-4900-000002000000}" name="Vínculo"/>
    <tableColumn id="3" xr3:uid="{00000000-0010-0000-4900-000003000000}" name="Elemento" totalsRowFunction="count"/>
    <tableColumn id="4" xr3:uid="{00000000-0010-0000-4900-000004000000}" name="Id do Revit"/>
    <tableColumn id="5" xr3:uid="{00000000-0010-0000-4900-000005000000}" name="Totais:" totalsRowFunction="sum"/>
  </tableColumns>
  <tableStyleInfo name="TableStyleLight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4A000000}" name="Elements13_3_121" displayName="Elements13_3_121" ref="A6:E20" totalsRowCount="1" totalsRowCellStyle="styleRegular">
  <autoFilter ref="A6:E19" xr:uid="{00000000-0009-0000-0100-00004B000000}"/>
  <tableColumns count="5">
    <tableColumn id="1" xr3:uid="{00000000-0010-0000-4A00-000001000000}" name="Projeto"/>
    <tableColumn id="2" xr3:uid="{00000000-0010-0000-4A00-000002000000}" name="Vínculo"/>
    <tableColumn id="3" xr3:uid="{00000000-0010-0000-4A00-000003000000}" name="Elemento" totalsRowFunction="count"/>
    <tableColumn id="4" xr3:uid="{00000000-0010-0000-4A00-000004000000}" name="Id do Revit"/>
    <tableColumn id="5" xr3:uid="{00000000-0010-0000-4A00-000005000000}" name="Totais:" totalsRowFunction="sum"/>
  </tableColumns>
  <tableStyleInfo name="TableStyleLight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B000000}" name="Elements13_3_131" displayName="Elements13_3_131" ref="A6:E11" totalsRowCount="1" totalsRowCellStyle="styleRegular">
  <autoFilter ref="A6:E10" xr:uid="{00000000-0009-0000-0100-00004C000000}"/>
  <tableColumns count="5">
    <tableColumn id="1" xr3:uid="{00000000-0010-0000-4B00-000001000000}" name="Projeto"/>
    <tableColumn id="2" xr3:uid="{00000000-0010-0000-4B00-000002000000}" name="Vínculo"/>
    <tableColumn id="3" xr3:uid="{00000000-0010-0000-4B00-000003000000}" name="Elemento" totalsRowFunction="count"/>
    <tableColumn id="4" xr3:uid="{00000000-0010-0000-4B00-000004000000}" name="Id do Revit"/>
    <tableColumn id="5" xr3:uid="{00000000-0010-0000-4B00-000005000000}" name="Totais:" totalsRowFunction="sum"/>
  </tableColumns>
  <tableStyleInfo name="TableStyleLight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C000000}" name="Elements13_3_141" displayName="Elements13_3_141" ref="A6:E8" totalsRowCount="1" totalsRowCellStyle="styleRegular">
  <autoFilter ref="A6:E7" xr:uid="{00000000-0009-0000-0100-00004D000000}"/>
  <tableColumns count="5">
    <tableColumn id="1" xr3:uid="{00000000-0010-0000-4C00-000001000000}" name="Projeto"/>
    <tableColumn id="2" xr3:uid="{00000000-0010-0000-4C00-000002000000}" name="Vínculo"/>
    <tableColumn id="3" xr3:uid="{00000000-0010-0000-4C00-000003000000}" name="Elemento" totalsRowFunction="count"/>
    <tableColumn id="4" xr3:uid="{00000000-0010-0000-4C00-000004000000}" name="Id do Revit"/>
    <tableColumn id="5" xr3:uid="{00000000-0010-0000-4C00-000005000000}" name="Totais:" totalsRowFunction="sum"/>
  </tableColumns>
  <tableStyleInfo name="TableStyleLight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D000000}" name="Elements13_3_151" displayName="Elements13_3_151" ref="A6:E9" totalsRowCount="1" totalsRowCellStyle="styleRegular">
  <autoFilter ref="A6:E8" xr:uid="{00000000-0009-0000-0100-00004E000000}"/>
  <tableColumns count="5">
    <tableColumn id="1" xr3:uid="{00000000-0010-0000-4D00-000001000000}" name="Projeto"/>
    <tableColumn id="2" xr3:uid="{00000000-0010-0000-4D00-000002000000}" name="Vínculo"/>
    <tableColumn id="3" xr3:uid="{00000000-0010-0000-4D00-000003000000}" name="Elemento" totalsRowFunction="count"/>
    <tableColumn id="4" xr3:uid="{00000000-0010-0000-4D00-000004000000}" name="Id do Revit"/>
    <tableColumn id="5" xr3:uid="{00000000-0010-0000-4D00-000005000000}" name="Totais:" totalsRowFunction="sum"/>
  </tableColumns>
  <tableStyleInfo name="TableStyleLight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4E000000}" name="Elements13_3_152" displayName="Elements13_3_152" ref="A17:E23" totalsRowCount="1" totalsRowCellStyle="styleRegular">
  <autoFilter ref="A17:E22" xr:uid="{00000000-0009-0000-0100-00004F000000}"/>
  <tableColumns count="5">
    <tableColumn id="1" xr3:uid="{00000000-0010-0000-4E00-000001000000}" name="Projeto"/>
    <tableColumn id="2" xr3:uid="{00000000-0010-0000-4E00-000002000000}" name="Vínculo"/>
    <tableColumn id="3" xr3:uid="{00000000-0010-0000-4E00-000003000000}" name="Elemento" totalsRowFunction="count"/>
    <tableColumn id="4" xr3:uid="{00000000-0010-0000-4E00-000004000000}" name="Id do Revit"/>
    <tableColumn id="5" xr3:uid="{00000000-0010-0000-4E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3.8" displayName="Criteria_Summary13.3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F000000}" name="Elements13_3_161" displayName="Elements13_3_161" ref="A6:E22" totalsRowCount="1" totalsRowCellStyle="styleRegular">
  <autoFilter ref="A6:E21" xr:uid="{00000000-0009-0000-0100-000050000000}"/>
  <tableColumns count="5">
    <tableColumn id="1" xr3:uid="{00000000-0010-0000-4F00-000001000000}" name="Projeto"/>
    <tableColumn id="2" xr3:uid="{00000000-0010-0000-4F00-000002000000}" name="Vínculo"/>
    <tableColumn id="3" xr3:uid="{00000000-0010-0000-4F00-000003000000}" name="Elemento" totalsRowFunction="count"/>
    <tableColumn id="4" xr3:uid="{00000000-0010-0000-4F00-000004000000}" name="Id do Revit"/>
    <tableColumn id="5" xr3:uid="{00000000-0010-0000-4F00-000005000000}" name="Totais:" totalsRowFunction="sum"/>
  </tableColumns>
  <tableStyleInfo name="TableStyleLight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50000000}" name="Elements13_3_171" displayName="Elements13_3_171" ref="A6:E80" totalsRowCount="1" totalsRowCellStyle="styleRegular">
  <autoFilter ref="A6:E79" xr:uid="{00000000-0009-0000-0100-000051000000}"/>
  <tableColumns count="5">
    <tableColumn id="1" xr3:uid="{00000000-0010-0000-5000-000001000000}" name="Projeto"/>
    <tableColumn id="2" xr3:uid="{00000000-0010-0000-5000-000002000000}" name="Vínculo"/>
    <tableColumn id="3" xr3:uid="{00000000-0010-0000-5000-000003000000}" name="Elemento" totalsRowFunction="count"/>
    <tableColumn id="4" xr3:uid="{00000000-0010-0000-5000-000004000000}" name="Id do Revit"/>
    <tableColumn id="5" xr3:uid="{00000000-0010-0000-5000-000005000000}" name="Totais:" totalsRowFunction="sum"/>
  </tableColumns>
  <tableStyleInfo name="TableStyleLight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51000000}" name="Elements13_3_181" displayName="Elements13_3_181" ref="A6:E9" totalsRowCount="1" totalsRowCellStyle="styleRegular">
  <autoFilter ref="A6:E8" xr:uid="{00000000-0009-0000-0100-000052000000}"/>
  <tableColumns count="5">
    <tableColumn id="1" xr3:uid="{00000000-0010-0000-5100-000001000000}" name="Projeto"/>
    <tableColumn id="2" xr3:uid="{00000000-0010-0000-5100-000002000000}" name="Vínculo"/>
    <tableColumn id="3" xr3:uid="{00000000-0010-0000-5100-000003000000}" name="Elemento" totalsRowFunction="count"/>
    <tableColumn id="4" xr3:uid="{00000000-0010-0000-5100-000004000000}" name="Id do Revit"/>
    <tableColumn id="5" xr3:uid="{00000000-0010-0000-5100-000005000000}" name="Totais:" totalsRowFunction="sum"/>
  </tableColumns>
  <tableStyleInfo name="TableStyleLight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52000000}" name="Elements13_3_191" displayName="Elements13_3_191" ref="A6:E8" totalsRowCount="1" totalsRowCellStyle="styleRegular">
  <autoFilter ref="A6:E7" xr:uid="{00000000-0009-0000-0100-000053000000}"/>
  <tableColumns count="5">
    <tableColumn id="1" xr3:uid="{00000000-0010-0000-5200-000001000000}" name="Projeto"/>
    <tableColumn id="2" xr3:uid="{00000000-0010-0000-5200-000002000000}" name="Vínculo"/>
    <tableColumn id="3" xr3:uid="{00000000-0010-0000-5200-000003000000}" name="Elemento" totalsRowFunction="count"/>
    <tableColumn id="4" xr3:uid="{00000000-0010-0000-5200-000004000000}" name="Id do Revit"/>
    <tableColumn id="5" xr3:uid="{00000000-0010-0000-5200-000005000000}" name="Totais:" totalsRowFunction="sum"/>
  </tableColumns>
  <tableStyleInfo name="TableStyleLight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53000000}" name="Elements13_3_201" displayName="Elements13_3_201" ref="A6:E50" totalsRowCount="1" totalsRowCellStyle="styleRegular">
  <autoFilter ref="A6:E49" xr:uid="{00000000-0009-0000-0100-000054000000}"/>
  <tableColumns count="5">
    <tableColumn id="1" xr3:uid="{00000000-0010-0000-5300-000001000000}" name="Projeto"/>
    <tableColumn id="2" xr3:uid="{00000000-0010-0000-5300-000002000000}" name="Vínculo"/>
    <tableColumn id="3" xr3:uid="{00000000-0010-0000-5300-000003000000}" name="Elemento" totalsRowFunction="count"/>
    <tableColumn id="4" xr3:uid="{00000000-0010-0000-5300-000004000000}" name="Id do Revit"/>
    <tableColumn id="5" xr3:uid="{00000000-0010-0000-5300-000005000000}" name="Totais:" totalsRowFunction="sum"/>
  </tableColumns>
  <tableStyleInfo name="TableStyleLight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54000000}" name="Elements13_3_211" displayName="Elements13_3_211" ref="A6:E9" totalsRowCount="1" totalsRowCellStyle="styleRegular">
  <autoFilter ref="A6:E8" xr:uid="{00000000-0009-0000-0100-000055000000}"/>
  <tableColumns count="5">
    <tableColumn id="1" xr3:uid="{00000000-0010-0000-5400-000001000000}" name="Projeto"/>
    <tableColumn id="2" xr3:uid="{00000000-0010-0000-5400-000002000000}" name="Vínculo"/>
    <tableColumn id="3" xr3:uid="{00000000-0010-0000-5400-000003000000}" name="Elemento" totalsRowFunction="count"/>
    <tableColumn id="4" xr3:uid="{00000000-0010-0000-5400-000004000000}" name="Id do Revit"/>
    <tableColumn id="5" xr3:uid="{00000000-0010-0000-5400-000005000000}" name="Totais:" totalsRowFunction="sum"/>
  </tableColumns>
  <tableStyleInfo name="TableStyleLight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55000000}" name="Elements13_3_221" displayName="Elements13_3_221" ref="A6:E9" totalsRowCount="1" totalsRowCellStyle="styleRegular">
  <autoFilter ref="A6:E8" xr:uid="{00000000-0009-0000-0100-000056000000}"/>
  <tableColumns count="5">
    <tableColumn id="1" xr3:uid="{00000000-0010-0000-5500-000001000000}" name="Projeto"/>
    <tableColumn id="2" xr3:uid="{00000000-0010-0000-5500-000002000000}" name="Vínculo"/>
    <tableColumn id="3" xr3:uid="{00000000-0010-0000-5500-000003000000}" name="Elemento" totalsRowFunction="count"/>
    <tableColumn id="4" xr3:uid="{00000000-0010-0000-5500-000004000000}" name="Id do Revit"/>
    <tableColumn id="5" xr3:uid="{00000000-0010-0000-5500-000005000000}" name="Totais:" totalsRowFunction="sum"/>
  </tableColumns>
  <tableStyleInfo name="TableStyleLight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56000000}" name="Elements13_3_231" displayName="Elements13_3_231" ref="A6:E11" totalsRowCount="1" totalsRowCellStyle="styleRegular">
  <autoFilter ref="A6:E10" xr:uid="{00000000-0009-0000-0100-000057000000}"/>
  <tableColumns count="5">
    <tableColumn id="1" xr3:uid="{00000000-0010-0000-5600-000001000000}" name="Projeto"/>
    <tableColumn id="2" xr3:uid="{00000000-0010-0000-5600-000002000000}" name="Vínculo"/>
    <tableColumn id="3" xr3:uid="{00000000-0010-0000-5600-000003000000}" name="Elemento" totalsRowFunction="count"/>
    <tableColumn id="4" xr3:uid="{00000000-0010-0000-5600-000004000000}" name="Id do Revit"/>
    <tableColumn id="5" xr3:uid="{00000000-0010-0000-5600-000005000000}" name="Totais:" totalsRowFunction="sum"/>
  </tableColumns>
  <tableStyleInfo name="TableStyleLight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57000000}" name="Elements13_3_241" displayName="Elements13_3_241" ref="A6:E36" totalsRowCount="1" totalsRowCellStyle="styleRegular">
  <autoFilter ref="A6:E35" xr:uid="{00000000-0009-0000-0100-000058000000}"/>
  <tableColumns count="5">
    <tableColumn id="1" xr3:uid="{00000000-0010-0000-5700-000001000000}" name="Projeto"/>
    <tableColumn id="2" xr3:uid="{00000000-0010-0000-5700-000002000000}" name="Vínculo"/>
    <tableColumn id="3" xr3:uid="{00000000-0010-0000-5700-000003000000}" name="Elemento" totalsRowFunction="count"/>
    <tableColumn id="4" xr3:uid="{00000000-0010-0000-5700-000004000000}" name="Id do Revit"/>
    <tableColumn id="5" xr3:uid="{00000000-0010-0000-5700-000005000000}" name="Totais:" totalsRowFunction="sum"/>
  </tableColumns>
  <tableStyleInfo name="TableStyleLight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58000000}" name="Elements13_3_251" displayName="Elements13_3_251" ref="A6:E29" totalsRowCount="1" totalsRowCellStyle="styleRegular">
  <autoFilter ref="A6:E28" xr:uid="{00000000-0009-0000-0100-000059000000}"/>
  <tableColumns count="5">
    <tableColumn id="1" xr3:uid="{00000000-0010-0000-5800-000001000000}" name="Projeto"/>
    <tableColumn id="2" xr3:uid="{00000000-0010-0000-5800-000002000000}" name="Vínculo"/>
    <tableColumn id="3" xr3:uid="{00000000-0010-0000-5800-000003000000}" name="Elemento" totalsRowFunction="count"/>
    <tableColumn id="4" xr3:uid="{00000000-0010-0000-5800-000004000000}" name="Id do Revit"/>
    <tableColumn id="5" xr3:uid="{00000000-0010-0000-58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3.9" displayName="Criteria_Summary13.3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59000000}" name="Elements13_3_261" displayName="Elements13_3_261" ref="A6:E8" totalsRowCount="1" totalsRowCellStyle="styleRegular">
  <autoFilter ref="A6:E7" xr:uid="{00000000-0009-0000-0100-00005A000000}"/>
  <tableColumns count="5">
    <tableColumn id="1" xr3:uid="{00000000-0010-0000-5900-000001000000}" name="Projeto"/>
    <tableColumn id="2" xr3:uid="{00000000-0010-0000-5900-000002000000}" name="Vínculo"/>
    <tableColumn id="3" xr3:uid="{00000000-0010-0000-5900-000003000000}" name="Elemento" totalsRowFunction="count"/>
    <tableColumn id="4" xr3:uid="{00000000-0010-0000-5900-000004000000}" name="Id do Revit"/>
    <tableColumn id="5" xr3:uid="{00000000-0010-0000-5900-000005000000}" name="Totais:" totalsRowFunction="sum"/>
  </tableColumns>
  <tableStyleInfo name="TableStyleLight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5A000000}" name="Elements13_3_271" displayName="Elements13_3_271" ref="A6:E8" totalsRowCount="1" totalsRowCellStyle="styleRegular">
  <autoFilter ref="A6:E7" xr:uid="{00000000-0009-0000-0100-00005B000000}"/>
  <tableColumns count="5">
    <tableColumn id="1" xr3:uid="{00000000-0010-0000-5A00-000001000000}" name="Projeto"/>
    <tableColumn id="2" xr3:uid="{00000000-0010-0000-5A00-000002000000}" name="Vínculo"/>
    <tableColumn id="3" xr3:uid="{00000000-0010-0000-5A00-000003000000}" name="Elemento" totalsRowFunction="count"/>
    <tableColumn id="4" xr3:uid="{00000000-0010-0000-5A00-000004000000}" name="Id do Revit"/>
    <tableColumn id="5" xr3:uid="{00000000-0010-0000-5A00-000005000000}" name="Totais:" totalsRowFunction="sum"/>
  </tableColumns>
  <tableStyleInfo name="TableStyleLight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5B000000}" name="Elements13_3_281" displayName="Elements13_3_281" ref="A6:E54" totalsRowCount="1" totalsRowCellStyle="styleRegular">
  <autoFilter ref="A6:E53" xr:uid="{00000000-0009-0000-0100-00005C000000}"/>
  <tableColumns count="5">
    <tableColumn id="1" xr3:uid="{00000000-0010-0000-5B00-000001000000}" name="Projeto"/>
    <tableColumn id="2" xr3:uid="{00000000-0010-0000-5B00-000002000000}" name="Vínculo"/>
    <tableColumn id="3" xr3:uid="{00000000-0010-0000-5B00-000003000000}" name="Elemento" totalsRowFunction="count"/>
    <tableColumn id="4" xr3:uid="{00000000-0010-0000-5B00-000004000000}" name="Id do Revit"/>
    <tableColumn id="5" xr3:uid="{00000000-0010-0000-5B00-000005000000}" name="Totais:" totalsRowFunction="sum"/>
  </tableColumns>
  <tableStyleInfo name="TableStyleLight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5C000000}" name="Elements13_3_291" displayName="Elements13_3_291" ref="A6:E13" totalsRowCount="1" totalsRowCellStyle="styleRegular">
  <autoFilter ref="A6:E12" xr:uid="{00000000-0009-0000-0100-00005D000000}"/>
  <tableColumns count="5">
    <tableColumn id="1" xr3:uid="{00000000-0010-0000-5C00-000001000000}" name="Projeto"/>
    <tableColumn id="2" xr3:uid="{00000000-0010-0000-5C00-000002000000}" name="Vínculo"/>
    <tableColumn id="3" xr3:uid="{00000000-0010-0000-5C00-000003000000}" name="Elemento" totalsRowFunction="count"/>
    <tableColumn id="4" xr3:uid="{00000000-0010-0000-5C00-000004000000}" name="Id do Revit"/>
    <tableColumn id="5" xr3:uid="{00000000-0010-0000-5C00-000005000000}" name="Totais:" totalsRowFunction="sum"/>
  </tableColumns>
  <tableStyleInfo name="TableStyleLight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5D000000}" name="Elements13_3_301" displayName="Elements13_3_301" ref="A6:E119" totalsRowCount="1" totalsRowCellStyle="styleRegular">
  <autoFilter ref="A6:E118" xr:uid="{00000000-0009-0000-0100-00005E000000}"/>
  <tableColumns count="5">
    <tableColumn id="1" xr3:uid="{00000000-0010-0000-5D00-000001000000}" name="Projeto"/>
    <tableColumn id="2" xr3:uid="{00000000-0010-0000-5D00-000002000000}" name="Vínculo"/>
    <tableColumn id="3" xr3:uid="{00000000-0010-0000-5D00-000003000000}" name="Elemento" totalsRowFunction="count"/>
    <tableColumn id="4" xr3:uid="{00000000-0010-0000-5D00-000004000000}" name="Id do Revit"/>
    <tableColumn id="5" xr3:uid="{00000000-0010-0000-5D00-000005000000}" name="Totais:" totalsRowFunction="sum"/>
  </tableColumns>
  <tableStyleInfo name="TableStyleLight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00000000-000C-0000-FFFF-FFFF5E000000}" name="Elements13_3_311" displayName="Elements13_3_311" ref="A6:E141" totalsRowCount="1" totalsRowCellStyle="styleRegular">
  <autoFilter ref="A6:E140" xr:uid="{00000000-0009-0000-0100-00005F000000}"/>
  <tableColumns count="5">
    <tableColumn id="1" xr3:uid="{00000000-0010-0000-5E00-000001000000}" name="Projeto"/>
    <tableColumn id="2" xr3:uid="{00000000-0010-0000-5E00-000002000000}" name="Vínculo"/>
    <tableColumn id="3" xr3:uid="{00000000-0010-0000-5E00-000003000000}" name="Elemento" totalsRowFunction="count"/>
    <tableColumn id="4" xr3:uid="{00000000-0010-0000-5E00-000004000000}" name="Id do Revit"/>
    <tableColumn id="5" xr3:uid="{00000000-0010-0000-5E00-000005000000}" name="Totais:" totalsRowFunction="sum"/>
  </tableColumns>
  <tableStyleInfo name="TableStyleLight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00000000-000C-0000-FFFF-FFFF5F000000}" name="Elements13_3_321" displayName="Elements13_3_321" ref="A6:E79" totalsRowCount="1" totalsRowCellStyle="styleRegular">
  <autoFilter ref="A6:E78" xr:uid="{00000000-0009-0000-0100-000060000000}"/>
  <tableColumns count="5">
    <tableColumn id="1" xr3:uid="{00000000-0010-0000-5F00-000001000000}" name="Projeto"/>
    <tableColumn id="2" xr3:uid="{00000000-0010-0000-5F00-000002000000}" name="Vínculo"/>
    <tableColumn id="3" xr3:uid="{00000000-0010-0000-5F00-000003000000}" name="Elemento" totalsRowFunction="count"/>
    <tableColumn id="4" xr3:uid="{00000000-0010-0000-5F00-000004000000}" name="Id do Revit"/>
    <tableColumn id="5" xr3:uid="{00000000-0010-0000-5F00-000005000000}" name="Totais:" totalsRowFunction="sum"/>
  </tableColumns>
  <tableStyleInfo name="TableStyleLight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00000000-000C-0000-FFFF-FFFF60000000}" name="Elements13_3_331" displayName="Elements13_3_331" ref="A6:E37" totalsRowCount="1" totalsRowCellStyle="styleRegular">
  <autoFilter ref="A6:E36" xr:uid="{00000000-0009-0000-0100-000061000000}"/>
  <tableColumns count="5">
    <tableColumn id="1" xr3:uid="{00000000-0010-0000-6000-000001000000}" name="Projeto"/>
    <tableColumn id="2" xr3:uid="{00000000-0010-0000-6000-000002000000}" name="Vínculo"/>
    <tableColumn id="3" xr3:uid="{00000000-0010-0000-6000-000003000000}" name="Elemento" totalsRowFunction="count"/>
    <tableColumn id="4" xr3:uid="{00000000-0010-0000-6000-000004000000}" name="Id do Revit"/>
    <tableColumn id="5" xr3:uid="{00000000-0010-0000-6000-000005000000}" name="Totais:" totalsRowFunction="sum"/>
  </tableColumns>
  <tableStyleInfo name="TableStyleLight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00000000-000C-0000-FFFF-FFFF61000000}" name="Elements13_3_341" displayName="Elements13_3_341" ref="A6:E12" totalsRowCount="1" totalsRowCellStyle="styleRegular">
  <autoFilter ref="A6:E11" xr:uid="{00000000-0009-0000-0100-000062000000}"/>
  <tableColumns count="5">
    <tableColumn id="1" xr3:uid="{00000000-0010-0000-6100-000001000000}" name="Projeto"/>
    <tableColumn id="2" xr3:uid="{00000000-0010-0000-6100-000002000000}" name="Vínculo"/>
    <tableColumn id="3" xr3:uid="{00000000-0010-0000-6100-000003000000}" name="Elemento" totalsRowFunction="count"/>
    <tableColumn id="4" xr3:uid="{00000000-0010-0000-6100-000004000000}" name="Id do Revit"/>
    <tableColumn id="5" xr3:uid="{00000000-0010-0000-6100-000005000000}" name="Totais:" totalsRowFunction="sum"/>
  </tableColumns>
  <tableStyleInfo name="TableStyleLight4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62000000}" name="Elements13_3_351" displayName="Elements13_3_351" ref="A6:E25" totalsRowCount="1" totalsRowCellStyle="styleRegular">
  <autoFilter ref="A6:E24" xr:uid="{00000000-0009-0000-0100-000063000000}"/>
  <tableColumns count="5">
    <tableColumn id="1" xr3:uid="{00000000-0010-0000-6200-000001000000}" name="Projeto"/>
    <tableColumn id="2" xr3:uid="{00000000-0010-0000-6200-000002000000}" name="Vínculo"/>
    <tableColumn id="3" xr3:uid="{00000000-0010-0000-6200-000003000000}" name="Elemento" totalsRowFunction="count"/>
    <tableColumn id="4" xr3:uid="{00000000-0010-0000-6200-000004000000}" name="Id do Revit"/>
    <tableColumn id="5" xr3:uid="{00000000-0010-0000-62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9.xml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0.xml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1.xml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2.xml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3.xml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4.xml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5.xml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6.xml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7.xml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9.xml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0.xml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1.xml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2.xml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3.xml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4.xml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5.xml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6.xml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7.xml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9.xml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0.xml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1.xml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2.xml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3.xml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4.xml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5.xml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6.xml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2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3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4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5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6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8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3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4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5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6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8.xml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9.xm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0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1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2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3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4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8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9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0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1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2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3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4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9.xml"/><Relationship Id="rId1" Type="http://schemas.openxmlformats.org/officeDocument/2006/relationships/table" Target="../tables/table78.xml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1.xml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2.xml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3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4.xml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5.xml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6.xml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7.xml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0.xml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1.xml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5.xml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6.xml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7.xml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showGridLines="0" tabSelected="1" workbookViewId="0">
      <selection activeCell="K70" sqref="K7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2">
        <v>228408.2</v>
      </c>
    </row>
    <row r="6" spans="1:9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107.74979383599999</v>
      </c>
      <c r="H6" s="5">
        <v>129.13812791244601</v>
      </c>
      <c r="I6" s="5">
        <v>2324.4863024240281</v>
      </c>
    </row>
    <row r="7" spans="1:9" ht="24.75">
      <c r="A7" s="5" t="s">
        <v>18</v>
      </c>
      <c r="B7" s="5" t="s">
        <v>19</v>
      </c>
      <c r="C7" s="5" t="s">
        <v>20</v>
      </c>
      <c r="D7" s="5" t="s">
        <v>21</v>
      </c>
      <c r="E7" s="5" t="s">
        <v>16</v>
      </c>
      <c r="F7" s="6" t="s">
        <v>22</v>
      </c>
      <c r="G7" s="5">
        <v>131.479793836</v>
      </c>
      <c r="H7" s="5">
        <v>157.57853291244601</v>
      </c>
      <c r="I7" s="5">
        <v>3781.8847898987042</v>
      </c>
    </row>
    <row r="8" spans="1:9">
      <c r="A8" s="5" t="s">
        <v>23</v>
      </c>
      <c r="B8" s="5" t="s">
        <v>24</v>
      </c>
      <c r="C8" s="5" t="s">
        <v>25</v>
      </c>
      <c r="D8" s="5" t="s">
        <v>26</v>
      </c>
      <c r="E8" s="5" t="s">
        <v>16</v>
      </c>
      <c r="F8" s="6" t="s">
        <v>27</v>
      </c>
      <c r="G8" s="5">
        <v>65.81</v>
      </c>
      <c r="H8" s="5">
        <v>78.87328500000001</v>
      </c>
      <c r="I8" s="5">
        <v>236.61985500000003</v>
      </c>
    </row>
    <row r="9" spans="1:9">
      <c r="A9" s="5" t="s">
        <v>28</v>
      </c>
      <c r="B9" s="5" t="s">
        <v>29</v>
      </c>
      <c r="C9" s="5" t="s">
        <v>30</v>
      </c>
      <c r="D9" s="5" t="s">
        <v>31</v>
      </c>
      <c r="E9" s="5" t="s">
        <v>16</v>
      </c>
      <c r="F9" s="6" t="s">
        <v>32</v>
      </c>
      <c r="G9" s="5">
        <v>535.15419643065127</v>
      </c>
      <c r="H9" s="5">
        <v>641.38230442213558</v>
      </c>
      <c r="I9" s="5">
        <v>641.38230442213558</v>
      </c>
    </row>
    <row r="10" spans="1:9" ht="36.75">
      <c r="A10" s="5" t="s">
        <v>33</v>
      </c>
      <c r="B10" s="5" t="s">
        <v>34</v>
      </c>
      <c r="C10" s="5" t="s">
        <v>25</v>
      </c>
      <c r="D10" s="5" t="s">
        <v>35</v>
      </c>
      <c r="E10" s="5" t="s">
        <v>16</v>
      </c>
      <c r="F10" s="6" t="s">
        <v>36</v>
      </c>
      <c r="G10" s="5">
        <v>396.93007409559999</v>
      </c>
      <c r="H10" s="5">
        <v>475.72069380357664</v>
      </c>
      <c r="I10" s="5">
        <v>12368.738038892992</v>
      </c>
    </row>
    <row r="11" spans="1:9" ht="36.75">
      <c r="A11" s="5" t="s">
        <v>37</v>
      </c>
      <c r="B11" s="5" t="s">
        <v>38</v>
      </c>
      <c r="C11" s="5" t="s">
        <v>25</v>
      </c>
      <c r="D11" s="5" t="s">
        <v>39</v>
      </c>
      <c r="E11" s="5" t="s">
        <v>16</v>
      </c>
      <c r="F11" s="6" t="s">
        <v>40</v>
      </c>
      <c r="G11" s="5">
        <v>1347.3466182152345</v>
      </c>
      <c r="H11" s="5">
        <v>1614.7949219309587</v>
      </c>
      <c r="I11" s="5">
        <v>35525.488282481092</v>
      </c>
    </row>
    <row r="12" spans="1:9" ht="24.75">
      <c r="A12" s="5" t="s">
        <v>41</v>
      </c>
      <c r="B12" s="5" t="s">
        <v>42</v>
      </c>
      <c r="C12" s="5" t="s">
        <v>25</v>
      </c>
      <c r="D12" s="5" t="s">
        <v>43</v>
      </c>
      <c r="E12" s="5" t="s">
        <v>44</v>
      </c>
      <c r="F12" s="6" t="s">
        <v>45</v>
      </c>
      <c r="G12" s="5">
        <v>12.037595</v>
      </c>
      <c r="H12" s="5">
        <v>14.4270576075</v>
      </c>
      <c r="I12" s="5">
        <v>2827.8475616460751</v>
      </c>
    </row>
    <row r="13" spans="1:9" ht="24.75">
      <c r="A13" s="5" t="s">
        <v>46</v>
      </c>
      <c r="B13" s="5" t="s">
        <v>47</v>
      </c>
      <c r="C13" s="5" t="s">
        <v>25</v>
      </c>
      <c r="D13" s="5" t="s">
        <v>48</v>
      </c>
      <c r="E13" s="5" t="s">
        <v>44</v>
      </c>
      <c r="F13" s="6" t="s">
        <v>49</v>
      </c>
      <c r="G13" s="5">
        <v>24.982716</v>
      </c>
      <c r="H13" s="5">
        <v>29.941785126000003</v>
      </c>
      <c r="I13" s="5">
        <v>14.072639009220001</v>
      </c>
    </row>
    <row r="14" spans="1:9">
      <c r="A14" s="5" t="s">
        <v>50</v>
      </c>
      <c r="B14" s="5" t="s">
        <v>51</v>
      </c>
      <c r="C14" s="5" t="s">
        <v>14</v>
      </c>
      <c r="D14" s="5" t="s">
        <v>52</v>
      </c>
      <c r="E14" s="5" t="s">
        <v>16</v>
      </c>
      <c r="F14" s="6" t="s">
        <v>32</v>
      </c>
      <c r="G14" s="5">
        <v>31.003349711999999</v>
      </c>
      <c r="H14" s="5">
        <v>37.157514629832001</v>
      </c>
      <c r="I14" s="5">
        <v>37.157514629832001</v>
      </c>
    </row>
    <row r="15" spans="1:9">
      <c r="A15" s="5" t="s">
        <v>53</v>
      </c>
      <c r="B15" s="5" t="s">
        <v>54</v>
      </c>
      <c r="C15" s="5" t="s">
        <v>30</v>
      </c>
      <c r="D15" s="5" t="s">
        <v>55</v>
      </c>
      <c r="E15" s="5" t="s">
        <v>44</v>
      </c>
      <c r="F15" s="6" t="s">
        <v>56</v>
      </c>
      <c r="G15" s="5">
        <v>28.544124118879999</v>
      </c>
      <c r="H15" s="5">
        <v>34.210132756477684</v>
      </c>
      <c r="I15" s="5">
        <v>172.7611704202123</v>
      </c>
    </row>
    <row r="16" spans="1:9" ht="24.75">
      <c r="A16" s="5" t="s">
        <v>57</v>
      </c>
      <c r="B16" s="5" t="s">
        <v>58</v>
      </c>
      <c r="C16" s="5" t="s">
        <v>30</v>
      </c>
      <c r="D16" s="5" t="s">
        <v>59</v>
      </c>
      <c r="E16" s="5" t="s">
        <v>16</v>
      </c>
      <c r="F16" s="6" t="s">
        <v>60</v>
      </c>
      <c r="G16" s="5">
        <v>32.348013973960001</v>
      </c>
      <c r="H16" s="5">
        <v>38.769094747791065</v>
      </c>
      <c r="I16" s="5">
        <v>465.22913697349281</v>
      </c>
    </row>
    <row r="17" spans="1:9" ht="24.75">
      <c r="A17" s="5" t="s">
        <v>61</v>
      </c>
      <c r="B17" s="5" t="s">
        <v>62</v>
      </c>
      <c r="C17" s="5" t="s">
        <v>30</v>
      </c>
      <c r="D17" s="5" t="s">
        <v>63</v>
      </c>
      <c r="E17" s="5" t="s">
        <v>16</v>
      </c>
      <c r="F17" s="6" t="s">
        <v>64</v>
      </c>
      <c r="G17" s="5">
        <v>25.143815464740001</v>
      </c>
      <c r="H17" s="5">
        <v>30.134862834490896</v>
      </c>
      <c r="I17" s="5">
        <v>391.75321684838167</v>
      </c>
    </row>
    <row r="18" spans="1:9" ht="24.75">
      <c r="A18" s="5" t="s">
        <v>65</v>
      </c>
      <c r="B18" s="5" t="s">
        <v>66</v>
      </c>
      <c r="C18" s="5" t="s">
        <v>30</v>
      </c>
      <c r="D18" s="5" t="s">
        <v>67</v>
      </c>
      <c r="E18" s="5" t="s">
        <v>16</v>
      </c>
      <c r="F18" s="6" t="s">
        <v>68</v>
      </c>
      <c r="G18" s="5">
        <v>12.056725484439999</v>
      </c>
      <c r="H18" s="5">
        <v>14.449985493101341</v>
      </c>
      <c r="I18" s="5">
        <v>57.799941972405364</v>
      </c>
    </row>
    <row r="19" spans="1:9">
      <c r="A19" s="5" t="s">
        <v>69</v>
      </c>
      <c r="B19" s="5" t="s">
        <v>70</v>
      </c>
      <c r="C19" s="5" t="s">
        <v>30</v>
      </c>
      <c r="D19" s="5" t="s">
        <v>71</v>
      </c>
      <c r="E19" s="5" t="s">
        <v>16</v>
      </c>
      <c r="F19" s="6" t="s">
        <v>32</v>
      </c>
      <c r="G19" s="5">
        <v>147.75601138947999</v>
      </c>
      <c r="H19" s="5">
        <v>177.08557965029178</v>
      </c>
      <c r="I19" s="5">
        <v>177.08557965029178</v>
      </c>
    </row>
    <row r="20" spans="1:9">
      <c r="A20" s="5" t="s">
        <v>72</v>
      </c>
      <c r="B20" s="5" t="s">
        <v>73</v>
      </c>
      <c r="C20" s="5" t="s">
        <v>25</v>
      </c>
      <c r="D20" s="5" t="s">
        <v>74</v>
      </c>
      <c r="E20" s="5" t="s">
        <v>16</v>
      </c>
      <c r="F20" s="6" t="s">
        <v>75</v>
      </c>
      <c r="G20" s="5">
        <v>21.78</v>
      </c>
      <c r="H20" s="5">
        <v>26.103330000000003</v>
      </c>
      <c r="I20" s="5">
        <v>182.72331000000003</v>
      </c>
    </row>
    <row r="21" spans="1:9">
      <c r="A21" s="5" t="s">
        <v>76</v>
      </c>
      <c r="B21" s="5" t="s">
        <v>77</v>
      </c>
      <c r="C21" s="5" t="s">
        <v>25</v>
      </c>
      <c r="D21" s="5" t="s">
        <v>78</v>
      </c>
      <c r="E21" s="5" t="s">
        <v>16</v>
      </c>
      <c r="F21" s="6" t="s">
        <v>79</v>
      </c>
      <c r="G21" s="5">
        <v>27.04513</v>
      </c>
      <c r="H21" s="5">
        <v>32.413588305000005</v>
      </c>
      <c r="I21" s="5">
        <v>486.20382457500006</v>
      </c>
    </row>
    <row r="22" spans="1:9" ht="24.75">
      <c r="A22" s="5" t="s">
        <v>80</v>
      </c>
      <c r="B22" s="5" t="s">
        <v>81</v>
      </c>
      <c r="C22" s="5" t="s">
        <v>30</v>
      </c>
      <c r="D22" s="5" t="s">
        <v>82</v>
      </c>
      <c r="E22" s="5" t="s">
        <v>16</v>
      </c>
      <c r="F22" s="6" t="s">
        <v>83</v>
      </c>
      <c r="G22" s="5">
        <v>20.72808298264</v>
      </c>
      <c r="H22" s="5">
        <v>24.842607454694043</v>
      </c>
      <c r="I22" s="5">
        <v>1813.5103441926651</v>
      </c>
    </row>
    <row r="23" spans="1:9">
      <c r="A23" s="5" t="s">
        <v>84</v>
      </c>
      <c r="B23" s="5" t="s">
        <v>85</v>
      </c>
      <c r="C23" s="5" t="s">
        <v>25</v>
      </c>
      <c r="D23" s="5" t="s">
        <v>86</v>
      </c>
      <c r="E23" s="5" t="s">
        <v>16</v>
      </c>
      <c r="F23" s="6" t="s">
        <v>87</v>
      </c>
      <c r="G23" s="5">
        <v>94.44</v>
      </c>
      <c r="H23" s="5">
        <v>113.18634000000002</v>
      </c>
      <c r="I23" s="5">
        <v>226.37268000000003</v>
      </c>
    </row>
    <row r="24" spans="1:9">
      <c r="A24" s="5" t="s">
        <v>88</v>
      </c>
      <c r="B24" s="5" t="s">
        <v>89</v>
      </c>
      <c r="C24" s="5" t="s">
        <v>25</v>
      </c>
      <c r="D24" s="5" t="s">
        <v>90</v>
      </c>
      <c r="E24" s="5" t="s">
        <v>16</v>
      </c>
      <c r="F24" s="6" t="s">
        <v>32</v>
      </c>
      <c r="G24" s="5">
        <v>3.31</v>
      </c>
      <c r="H24" s="5">
        <v>3.9670350000000005</v>
      </c>
      <c r="I24" s="5">
        <v>3.9670350000000005</v>
      </c>
    </row>
    <row r="25" spans="1:9">
      <c r="A25" s="5" t="s">
        <v>91</v>
      </c>
      <c r="B25" s="5" t="s">
        <v>92</v>
      </c>
      <c r="C25" s="5" t="s">
        <v>14</v>
      </c>
      <c r="D25" s="5" t="s">
        <v>93</v>
      </c>
      <c r="E25" s="5" t="s">
        <v>16</v>
      </c>
      <c r="F25" s="6" t="s">
        <v>94</v>
      </c>
      <c r="G25" s="5">
        <v>77.925965779999999</v>
      </c>
      <c r="H25" s="5">
        <v>93.394269987330006</v>
      </c>
      <c r="I25" s="5">
        <v>4015.9536094551904</v>
      </c>
    </row>
    <row r="26" spans="1:9">
      <c r="A26" s="5" t="s">
        <v>95</v>
      </c>
      <c r="B26" s="5" t="s">
        <v>96</v>
      </c>
      <c r="C26" s="5" t="s">
        <v>14</v>
      </c>
      <c r="D26" s="5" t="s">
        <v>97</v>
      </c>
      <c r="E26" s="5" t="s">
        <v>16</v>
      </c>
      <c r="F26" s="6" t="s">
        <v>87</v>
      </c>
      <c r="G26" s="5">
        <v>205.27882022399999</v>
      </c>
      <c r="H26" s="5">
        <v>246.02666603846401</v>
      </c>
      <c r="I26" s="5">
        <v>492.05333207692803</v>
      </c>
    </row>
    <row r="27" spans="1:9">
      <c r="A27" s="5" t="s">
        <v>98</v>
      </c>
      <c r="B27" s="5" t="s">
        <v>99</v>
      </c>
      <c r="C27" s="5" t="s">
        <v>14</v>
      </c>
      <c r="D27" s="5" t="s">
        <v>100</v>
      </c>
      <c r="E27" s="5" t="s">
        <v>16</v>
      </c>
      <c r="F27" s="6" t="s">
        <v>87</v>
      </c>
      <c r="G27" s="5">
        <v>92.772313776000004</v>
      </c>
      <c r="H27" s="5">
        <v>111.18761806053601</v>
      </c>
      <c r="I27" s="5">
        <v>222.37523612107202</v>
      </c>
    </row>
    <row r="28" spans="1:9">
      <c r="A28" s="5" t="s">
        <v>101</v>
      </c>
      <c r="B28" s="5" t="s">
        <v>102</v>
      </c>
      <c r="C28" s="5" t="s">
        <v>14</v>
      </c>
      <c r="D28" s="5" t="s">
        <v>103</v>
      </c>
      <c r="E28" s="5" t="s">
        <v>16</v>
      </c>
      <c r="F28" s="6" t="s">
        <v>68</v>
      </c>
      <c r="G28" s="5">
        <v>33.514930067999998</v>
      </c>
      <c r="H28" s="5">
        <v>40.167643686498003</v>
      </c>
      <c r="I28" s="5">
        <v>160.67057474599201</v>
      </c>
    </row>
    <row r="29" spans="1:9">
      <c r="A29" s="5" t="s">
        <v>104</v>
      </c>
      <c r="B29" s="5" t="s">
        <v>105</v>
      </c>
      <c r="C29" s="5" t="s">
        <v>30</v>
      </c>
      <c r="D29" s="5" t="s">
        <v>106</v>
      </c>
      <c r="E29" s="5" t="s">
        <v>16</v>
      </c>
      <c r="F29" s="6" t="s">
        <v>107</v>
      </c>
      <c r="G29" s="5">
        <v>12.237350879059999</v>
      </c>
      <c r="H29" s="5">
        <v>14.666465028553411</v>
      </c>
      <c r="I29" s="5">
        <v>425.32748582804891</v>
      </c>
    </row>
    <row r="30" spans="1:9">
      <c r="A30" s="5" t="s">
        <v>108</v>
      </c>
      <c r="B30" s="5" t="s">
        <v>109</v>
      </c>
      <c r="C30" s="5" t="s">
        <v>14</v>
      </c>
      <c r="D30" s="5" t="s">
        <v>110</v>
      </c>
      <c r="E30" s="5" t="s">
        <v>16</v>
      </c>
      <c r="F30" s="6" t="s">
        <v>40</v>
      </c>
      <c r="G30" s="5">
        <v>16.047161224</v>
      </c>
      <c r="H30" s="5">
        <v>19.232522726964003</v>
      </c>
      <c r="I30" s="5">
        <v>423.11549999320806</v>
      </c>
    </row>
    <row r="31" spans="1:9" ht="24.75">
      <c r="A31" s="5" t="s">
        <v>111</v>
      </c>
      <c r="B31" s="5" t="s">
        <v>112</v>
      </c>
      <c r="C31" s="5" t="s">
        <v>30</v>
      </c>
      <c r="D31" s="5" t="s">
        <v>113</v>
      </c>
      <c r="E31" s="5" t="s">
        <v>16</v>
      </c>
      <c r="F31" s="6" t="s">
        <v>32</v>
      </c>
      <c r="G31" s="5">
        <v>58.038218369379997</v>
      </c>
      <c r="H31" s="5">
        <v>69.558804715701939</v>
      </c>
      <c r="I31" s="5">
        <v>69.558804715701939</v>
      </c>
    </row>
    <row r="32" spans="1:9" ht="24.75">
      <c r="A32" s="5" t="s">
        <v>114</v>
      </c>
      <c r="B32" s="5" t="s">
        <v>115</v>
      </c>
      <c r="C32" s="5" t="s">
        <v>30</v>
      </c>
      <c r="D32" s="5" t="s">
        <v>116</v>
      </c>
      <c r="E32" s="5" t="s">
        <v>16</v>
      </c>
      <c r="F32" s="6" t="s">
        <v>32</v>
      </c>
      <c r="G32" s="5">
        <v>84.774499141320007</v>
      </c>
      <c r="H32" s="5">
        <v>101.60223722087204</v>
      </c>
      <c r="I32" s="5">
        <v>101.60223722087204</v>
      </c>
    </row>
    <row r="33" spans="1:9" ht="24.75">
      <c r="A33" s="5" t="s">
        <v>117</v>
      </c>
      <c r="B33" s="5" t="s">
        <v>118</v>
      </c>
      <c r="C33" s="5" t="s">
        <v>30</v>
      </c>
      <c r="D33" s="5" t="s">
        <v>119</v>
      </c>
      <c r="E33" s="5" t="s">
        <v>16</v>
      </c>
      <c r="F33" s="6" t="s">
        <v>120</v>
      </c>
      <c r="G33" s="5">
        <v>11.324099694739999</v>
      </c>
      <c r="H33" s="5">
        <v>13.571933484145891</v>
      </c>
      <c r="I33" s="5">
        <v>637.88087375485691</v>
      </c>
    </row>
    <row r="34" spans="1:9" ht="24.75">
      <c r="A34" s="5" t="s">
        <v>121</v>
      </c>
      <c r="B34" s="5" t="s">
        <v>122</v>
      </c>
      <c r="C34" s="5" t="s">
        <v>30</v>
      </c>
      <c r="D34" s="5" t="s">
        <v>123</v>
      </c>
      <c r="E34" s="5" t="s">
        <v>16</v>
      </c>
      <c r="F34" s="6" t="s">
        <v>124</v>
      </c>
      <c r="G34" s="5">
        <v>16.269225929480001</v>
      </c>
      <c r="H34" s="5">
        <v>19.498667276481783</v>
      </c>
      <c r="I34" s="5">
        <v>116.9920036588907</v>
      </c>
    </row>
    <row r="35" spans="1:9">
      <c r="A35" s="5" t="s">
        <v>125</v>
      </c>
      <c r="B35" s="5" t="s">
        <v>126</v>
      </c>
      <c r="C35" s="5" t="s">
        <v>30</v>
      </c>
      <c r="D35" s="5" t="s">
        <v>127</v>
      </c>
      <c r="E35" s="5" t="s">
        <v>44</v>
      </c>
      <c r="F35" s="6" t="s">
        <v>128</v>
      </c>
      <c r="G35" s="5">
        <v>27.512381187799999</v>
      </c>
      <c r="H35" s="5">
        <v>32.973588853578299</v>
      </c>
      <c r="I35" s="5">
        <v>1445.5621353408728</v>
      </c>
    </row>
    <row r="36" spans="1:9">
      <c r="A36" s="5" t="s">
        <v>129</v>
      </c>
      <c r="B36" s="5" t="s">
        <v>130</v>
      </c>
      <c r="C36" s="5" t="s">
        <v>30</v>
      </c>
      <c r="D36" s="5" t="s">
        <v>131</v>
      </c>
      <c r="E36" s="5" t="s">
        <v>44</v>
      </c>
      <c r="F36" s="6" t="s">
        <v>132</v>
      </c>
      <c r="G36" s="5">
        <v>15.1812307109</v>
      </c>
      <c r="H36" s="5">
        <v>18.194705007013653</v>
      </c>
      <c r="I36" s="5">
        <v>2704.097058142369</v>
      </c>
    </row>
    <row r="37" spans="1:9" ht="24.75">
      <c r="A37" s="5" t="s">
        <v>133</v>
      </c>
      <c r="B37" s="5" t="s">
        <v>134</v>
      </c>
      <c r="C37" s="5" t="s">
        <v>30</v>
      </c>
      <c r="D37" s="5" t="s">
        <v>135</v>
      </c>
      <c r="E37" s="5" t="s">
        <v>16</v>
      </c>
      <c r="F37" s="6" t="s">
        <v>136</v>
      </c>
      <c r="G37" s="5">
        <v>12.8540023442</v>
      </c>
      <c r="H37" s="5">
        <v>15.405521809523702</v>
      </c>
      <c r="I37" s="5">
        <v>1109.1975702857064</v>
      </c>
    </row>
    <row r="38" spans="1:9" ht="24.75">
      <c r="A38" s="5" t="s">
        <v>137</v>
      </c>
      <c r="B38" s="5" t="s">
        <v>138</v>
      </c>
      <c r="C38" s="5" t="s">
        <v>30</v>
      </c>
      <c r="D38" s="5" t="s">
        <v>139</v>
      </c>
      <c r="E38" s="5" t="s">
        <v>16</v>
      </c>
      <c r="F38" s="6" t="s">
        <v>140</v>
      </c>
      <c r="G38" s="5">
        <v>17.559551386340001</v>
      </c>
      <c r="H38" s="5">
        <v>21.045122336528493</v>
      </c>
      <c r="I38" s="5">
        <v>631.3536700958548</v>
      </c>
    </row>
    <row r="39" spans="1:9" ht="24.75">
      <c r="A39" s="5" t="s">
        <v>141</v>
      </c>
      <c r="B39" s="5" t="s">
        <v>142</v>
      </c>
      <c r="C39" s="5" t="s">
        <v>30</v>
      </c>
      <c r="D39" s="5" t="s">
        <v>143</v>
      </c>
      <c r="E39" s="5" t="s">
        <v>16</v>
      </c>
      <c r="F39" s="6" t="s">
        <v>144</v>
      </c>
      <c r="G39" s="5">
        <v>25.941013335920001</v>
      </c>
      <c r="H39" s="5">
        <v>31.090304483100123</v>
      </c>
      <c r="I39" s="5">
        <v>155.45152241550062</v>
      </c>
    </row>
    <row r="40" spans="1:9" ht="24.75">
      <c r="A40" s="5" t="s">
        <v>145</v>
      </c>
      <c r="B40" s="5" t="s">
        <v>146</v>
      </c>
      <c r="C40" s="5" t="s">
        <v>30</v>
      </c>
      <c r="D40" s="5" t="s">
        <v>147</v>
      </c>
      <c r="E40" s="5" t="s">
        <v>16</v>
      </c>
      <c r="F40" s="6" t="s">
        <v>17</v>
      </c>
      <c r="G40" s="5">
        <v>31.43801397396</v>
      </c>
      <c r="H40" s="5">
        <v>37.678459747791067</v>
      </c>
      <c r="I40" s="5">
        <v>678.2122754602392</v>
      </c>
    </row>
    <row r="41" spans="1:9">
      <c r="A41" s="5" t="s">
        <v>148</v>
      </c>
      <c r="B41" s="5" t="s">
        <v>149</v>
      </c>
      <c r="C41" s="5" t="s">
        <v>30</v>
      </c>
      <c r="D41" s="5" t="s">
        <v>150</v>
      </c>
      <c r="E41" s="5" t="s">
        <v>44</v>
      </c>
      <c r="F41" s="6" t="s">
        <v>151</v>
      </c>
      <c r="G41" s="5">
        <v>26.571387213040001</v>
      </c>
      <c r="H41" s="5">
        <v>31.845807574828445</v>
      </c>
      <c r="I41" s="5">
        <v>841.36623612696758</v>
      </c>
    </row>
    <row r="42" spans="1:9">
      <c r="A42" s="5" t="s">
        <v>152</v>
      </c>
      <c r="B42" s="5" t="s">
        <v>153</v>
      </c>
      <c r="C42" s="5" t="s">
        <v>30</v>
      </c>
      <c r="D42" s="5" t="s">
        <v>154</v>
      </c>
      <c r="E42" s="5" t="s">
        <v>44</v>
      </c>
      <c r="F42" s="6" t="s">
        <v>155</v>
      </c>
      <c r="G42" s="5">
        <v>35.070081026719997</v>
      </c>
      <c r="H42" s="5">
        <v>42.031492110523921</v>
      </c>
      <c r="I42" s="5">
        <v>3315.4440976781266</v>
      </c>
    </row>
    <row r="43" spans="1:9">
      <c r="A43" s="5" t="s">
        <v>156</v>
      </c>
      <c r="B43" s="5" t="s">
        <v>157</v>
      </c>
      <c r="C43" s="5" t="s">
        <v>30</v>
      </c>
      <c r="D43" s="5" t="s">
        <v>158</v>
      </c>
      <c r="E43" s="5" t="s">
        <v>44</v>
      </c>
      <c r="F43" s="6" t="s">
        <v>159</v>
      </c>
      <c r="G43" s="5">
        <v>65.863313864440002</v>
      </c>
      <c r="H43" s="5">
        <v>78.937181666531345</v>
      </c>
      <c r="I43" s="5">
        <v>401.79025468264456</v>
      </c>
    </row>
    <row r="44" spans="1:9">
      <c r="A44" s="5" t="s">
        <v>160</v>
      </c>
      <c r="B44" s="5" t="s">
        <v>161</v>
      </c>
      <c r="C44" s="5" t="s">
        <v>25</v>
      </c>
      <c r="D44" s="5" t="s">
        <v>162</v>
      </c>
      <c r="E44" s="5" t="s">
        <v>44</v>
      </c>
      <c r="F44" s="6" t="s">
        <v>163</v>
      </c>
      <c r="G44" s="5">
        <v>50.55</v>
      </c>
      <c r="H44" s="5">
        <v>60.584175000000002</v>
      </c>
      <c r="I44" s="5">
        <v>4547.4481755000006</v>
      </c>
    </row>
    <row r="45" spans="1:9">
      <c r="A45" s="5" t="s">
        <v>164</v>
      </c>
      <c r="B45" s="5" t="s">
        <v>165</v>
      </c>
      <c r="C45" s="5" t="s">
        <v>30</v>
      </c>
      <c r="D45" s="5" t="s">
        <v>166</v>
      </c>
      <c r="E45" s="5" t="s">
        <v>44</v>
      </c>
      <c r="F45" s="6" t="s">
        <v>167</v>
      </c>
      <c r="G45" s="5">
        <v>62.590513354599999</v>
      </c>
      <c r="H45" s="5">
        <v>75.014730255488104</v>
      </c>
      <c r="I45" s="5">
        <v>8650.6986930628882</v>
      </c>
    </row>
    <row r="46" spans="1:9">
      <c r="A46" s="5" t="s">
        <v>168</v>
      </c>
      <c r="B46" s="5" t="s">
        <v>169</v>
      </c>
      <c r="C46" s="5" t="s">
        <v>30</v>
      </c>
      <c r="D46" s="5" t="s">
        <v>170</v>
      </c>
      <c r="E46" s="5" t="s">
        <v>44</v>
      </c>
      <c r="F46" s="6" t="s">
        <v>171</v>
      </c>
      <c r="G46" s="5">
        <v>108.7150672554</v>
      </c>
      <c r="H46" s="5">
        <v>130.29500810559691</v>
      </c>
      <c r="I46" s="5">
        <v>14391.083645263179</v>
      </c>
    </row>
    <row r="47" spans="1:9">
      <c r="A47" s="5" t="s">
        <v>172</v>
      </c>
      <c r="B47" s="5" t="s">
        <v>173</v>
      </c>
      <c r="C47" s="5" t="s">
        <v>174</v>
      </c>
      <c r="D47" s="5" t="s">
        <v>175</v>
      </c>
      <c r="E47" s="5" t="s">
        <v>16</v>
      </c>
      <c r="F47" s="6" t="s">
        <v>124</v>
      </c>
      <c r="G47" s="5">
        <v>32.244</v>
      </c>
      <c r="H47" s="5">
        <v>38.644434000000004</v>
      </c>
      <c r="I47" s="5">
        <v>231.86660400000002</v>
      </c>
    </row>
    <row r="48" spans="1:9">
      <c r="A48" s="5" t="s">
        <v>176</v>
      </c>
      <c r="B48" s="5" t="s">
        <v>177</v>
      </c>
      <c r="C48" s="5" t="s">
        <v>174</v>
      </c>
      <c r="D48" s="5" t="s">
        <v>178</v>
      </c>
      <c r="E48" s="5" t="s">
        <v>16</v>
      </c>
      <c r="F48" s="6" t="s">
        <v>17</v>
      </c>
      <c r="G48" s="5">
        <v>32.711799999999997</v>
      </c>
      <c r="H48" s="5">
        <v>39.205092299999997</v>
      </c>
      <c r="I48" s="5">
        <v>705.69166139999993</v>
      </c>
    </row>
    <row r="49" spans="1:9">
      <c r="A49" s="5" t="s">
        <v>179</v>
      </c>
      <c r="B49" s="5" t="s">
        <v>180</v>
      </c>
      <c r="C49" s="5" t="s">
        <v>174</v>
      </c>
      <c r="D49" s="5" t="s">
        <v>181</v>
      </c>
      <c r="E49" s="5" t="s">
        <v>16</v>
      </c>
      <c r="F49" s="6" t="s">
        <v>182</v>
      </c>
      <c r="G49" s="5">
        <v>75.144000000000005</v>
      </c>
      <c r="H49" s="5">
        <v>90.060084000000018</v>
      </c>
      <c r="I49" s="5">
        <v>990.66092400000025</v>
      </c>
    </row>
    <row r="50" spans="1:9" ht="24.75">
      <c r="A50" s="5" t="s">
        <v>183</v>
      </c>
      <c r="B50" s="5" t="s">
        <v>184</v>
      </c>
      <c r="C50" s="5" t="s">
        <v>30</v>
      </c>
      <c r="D50" s="5" t="s">
        <v>185</v>
      </c>
      <c r="E50" s="5" t="s">
        <v>16</v>
      </c>
      <c r="F50" s="6" t="s">
        <v>17</v>
      </c>
      <c r="G50" s="5">
        <v>145.01223871197999</v>
      </c>
      <c r="H50" s="5">
        <v>173.79716809630804</v>
      </c>
      <c r="I50" s="5">
        <v>3128.3490257335447</v>
      </c>
    </row>
    <row r="51" spans="1:9">
      <c r="A51" s="5" t="s">
        <v>186</v>
      </c>
      <c r="B51" s="5" t="s">
        <v>187</v>
      </c>
      <c r="C51" s="5" t="s">
        <v>30</v>
      </c>
      <c r="D51" s="5" t="s">
        <v>188</v>
      </c>
      <c r="E51" s="5" t="s">
        <v>16</v>
      </c>
      <c r="F51" s="6" t="s">
        <v>32</v>
      </c>
      <c r="G51" s="5">
        <v>76.524966972000001</v>
      </c>
      <c r="H51" s="5">
        <v>91.715172915942006</v>
      </c>
      <c r="I51" s="5">
        <v>91.715172915942006</v>
      </c>
    </row>
    <row r="52" spans="1:9">
      <c r="A52" s="5" t="s">
        <v>189</v>
      </c>
      <c r="B52" s="5" t="s">
        <v>191</v>
      </c>
      <c r="C52" s="5" t="s">
        <v>25</v>
      </c>
      <c r="D52" s="5" t="s">
        <v>192</v>
      </c>
      <c r="E52" s="5" t="s">
        <v>16</v>
      </c>
      <c r="F52" s="6" t="s">
        <v>79</v>
      </c>
      <c r="G52" s="5">
        <v>2.61</v>
      </c>
      <c r="H52" s="5">
        <v>3.128085</v>
      </c>
      <c r="I52" s="5">
        <v>46.921275000000001</v>
      </c>
    </row>
    <row r="53" spans="1:9">
      <c r="A53" s="5" t="s">
        <v>190</v>
      </c>
      <c r="B53" s="5" t="s">
        <v>194</v>
      </c>
      <c r="C53" s="5" t="s">
        <v>25</v>
      </c>
      <c r="D53" s="5" t="s">
        <v>195</v>
      </c>
      <c r="E53" s="5" t="s">
        <v>16</v>
      </c>
      <c r="F53" s="6" t="s">
        <v>87</v>
      </c>
      <c r="G53" s="5">
        <v>1.58</v>
      </c>
      <c r="H53" s="5">
        <v>1.8936300000000004</v>
      </c>
      <c r="I53" s="5">
        <v>3.7872600000000007</v>
      </c>
    </row>
    <row r="54" spans="1:9">
      <c r="A54" s="5" t="s">
        <v>193</v>
      </c>
      <c r="B54" s="5" t="s">
        <v>197</v>
      </c>
      <c r="C54" s="5" t="s">
        <v>25</v>
      </c>
      <c r="D54" s="5" t="s">
        <v>198</v>
      </c>
      <c r="E54" s="5" t="s">
        <v>16</v>
      </c>
      <c r="F54" s="6" t="s">
        <v>199</v>
      </c>
      <c r="G54" s="5">
        <v>0.65</v>
      </c>
      <c r="H54" s="5">
        <v>0.77902500000000008</v>
      </c>
      <c r="I54" s="5">
        <v>79.460550000000012</v>
      </c>
    </row>
    <row r="55" spans="1:9">
      <c r="A55" s="5" t="s">
        <v>196</v>
      </c>
      <c r="B55" s="5" t="s">
        <v>105</v>
      </c>
      <c r="C55" s="5" t="s">
        <v>30</v>
      </c>
      <c r="D55" s="5" t="s">
        <v>106</v>
      </c>
      <c r="E55" s="5" t="s">
        <v>16</v>
      </c>
      <c r="F55" s="6" t="s">
        <v>107</v>
      </c>
      <c r="G55" s="5">
        <v>12.237350879059999</v>
      </c>
      <c r="H55" s="5">
        <v>14.666465028553411</v>
      </c>
      <c r="I55" s="5">
        <v>425.32748582804891</v>
      </c>
    </row>
    <row r="56" spans="1:9">
      <c r="A56" s="5" t="s">
        <v>200</v>
      </c>
      <c r="B56" s="5" t="s">
        <v>202</v>
      </c>
      <c r="C56" s="5" t="s">
        <v>25</v>
      </c>
      <c r="D56" s="5" t="s">
        <v>203</v>
      </c>
      <c r="E56" s="5" t="s">
        <v>16</v>
      </c>
      <c r="F56" s="6" t="s">
        <v>40</v>
      </c>
      <c r="G56" s="5">
        <v>1.25</v>
      </c>
      <c r="H56" s="5">
        <v>1.4981250000000002</v>
      </c>
      <c r="I56" s="5">
        <v>32.958750000000002</v>
      </c>
    </row>
    <row r="57" spans="1:9">
      <c r="A57" s="5" t="s">
        <v>201</v>
      </c>
      <c r="B57" s="5" t="s">
        <v>205</v>
      </c>
      <c r="C57" s="5" t="s">
        <v>30</v>
      </c>
      <c r="D57" s="5" t="s">
        <v>206</v>
      </c>
      <c r="E57" s="5" t="s">
        <v>44</v>
      </c>
      <c r="F57" s="6" t="s">
        <v>207</v>
      </c>
      <c r="G57" s="5">
        <v>159.58798326199999</v>
      </c>
      <c r="H57" s="5">
        <v>191.26619793950701</v>
      </c>
      <c r="I57" s="5">
        <v>3387.3243655086694</v>
      </c>
    </row>
    <row r="58" spans="1:9" ht="24.75">
      <c r="A58" s="5" t="s">
        <v>204</v>
      </c>
      <c r="B58" s="5" t="s">
        <v>209</v>
      </c>
      <c r="C58" s="5" t="s">
        <v>30</v>
      </c>
      <c r="D58" s="5" t="s">
        <v>210</v>
      </c>
      <c r="E58" s="5" t="s">
        <v>44</v>
      </c>
      <c r="F58" s="6" t="s">
        <v>211</v>
      </c>
      <c r="G58" s="5">
        <v>447.36873348839998</v>
      </c>
      <c r="H58" s="5">
        <v>536.17142708584743</v>
      </c>
      <c r="I58" s="5">
        <v>106269.17684841495</v>
      </c>
    </row>
    <row r="59" spans="1:9">
      <c r="A59" s="5" t="s">
        <v>208</v>
      </c>
      <c r="B59" s="5" t="s">
        <v>214</v>
      </c>
      <c r="C59" s="5" t="s">
        <v>25</v>
      </c>
      <c r="D59" s="5" t="s">
        <v>215</v>
      </c>
      <c r="E59" s="5" t="s">
        <v>16</v>
      </c>
      <c r="F59" s="6" t="s">
        <v>216</v>
      </c>
      <c r="G59" s="5">
        <v>5.75</v>
      </c>
      <c r="H59" s="5">
        <v>6.8913750000000009</v>
      </c>
      <c r="I59" s="5">
        <v>282.54637500000001</v>
      </c>
    </row>
    <row r="60" spans="1:9">
      <c r="A60" s="5" t="s">
        <v>212</v>
      </c>
      <c r="B60" s="5" t="s">
        <v>218</v>
      </c>
      <c r="C60" s="5" t="s">
        <v>25</v>
      </c>
      <c r="D60" s="5" t="s">
        <v>219</v>
      </c>
      <c r="E60" s="5" t="s">
        <v>16</v>
      </c>
      <c r="F60" s="6" t="s">
        <v>220</v>
      </c>
      <c r="G60" s="5">
        <v>7.06</v>
      </c>
      <c r="H60" s="5">
        <v>8.4614100000000008</v>
      </c>
      <c r="I60" s="5">
        <v>355.37922000000003</v>
      </c>
    </row>
    <row r="61" spans="1:9">
      <c r="A61" s="5" t="s">
        <v>213</v>
      </c>
      <c r="B61" s="5" t="s">
        <v>222</v>
      </c>
      <c r="C61" s="5" t="s">
        <v>30</v>
      </c>
      <c r="D61" s="5" t="s">
        <v>223</v>
      </c>
      <c r="E61" s="5" t="s">
        <v>44</v>
      </c>
      <c r="F61" s="6" t="s">
        <v>224</v>
      </c>
      <c r="G61" s="5">
        <v>59.054547363040001</v>
      </c>
      <c r="H61" s="5">
        <v>70.776875014603448</v>
      </c>
      <c r="I61" s="5">
        <v>1517.456200313098</v>
      </c>
    </row>
    <row r="62" spans="1:9" ht="24.75">
      <c r="A62" s="5" t="s">
        <v>217</v>
      </c>
      <c r="B62" s="5" t="s">
        <v>226</v>
      </c>
      <c r="C62" s="5" t="s">
        <v>25</v>
      </c>
      <c r="D62" s="5" t="s">
        <v>227</v>
      </c>
      <c r="E62" s="5" t="s">
        <v>44</v>
      </c>
      <c r="F62" s="6" t="s">
        <v>207</v>
      </c>
      <c r="G62" s="5">
        <v>36.720282727292798</v>
      </c>
      <c r="H62" s="5">
        <v>44.009258848660423</v>
      </c>
      <c r="I62" s="5">
        <v>779.40397420977615</v>
      </c>
    </row>
    <row r="63" spans="1:9" ht="24.75">
      <c r="A63" s="5" t="s">
        <v>221</v>
      </c>
      <c r="B63" s="5" t="s">
        <v>229</v>
      </c>
      <c r="C63" s="5" t="s">
        <v>30</v>
      </c>
      <c r="D63" s="5" t="s">
        <v>230</v>
      </c>
      <c r="E63" s="5" t="s">
        <v>16</v>
      </c>
      <c r="F63" s="6" t="s">
        <v>124</v>
      </c>
      <c r="G63" s="5">
        <v>59.734891780159998</v>
      </c>
      <c r="H63" s="5">
        <v>71.59226779852176</v>
      </c>
      <c r="I63" s="5">
        <v>429.55360679113056</v>
      </c>
    </row>
    <row r="64" spans="1:9" ht="24.75">
      <c r="A64" s="5" t="s">
        <v>225</v>
      </c>
      <c r="B64" s="5" t="s">
        <v>232</v>
      </c>
      <c r="C64" s="5" t="s">
        <v>30</v>
      </c>
      <c r="D64" s="5" t="s">
        <v>233</v>
      </c>
      <c r="E64" s="5" t="s">
        <v>16</v>
      </c>
      <c r="F64" s="6" t="s">
        <v>234</v>
      </c>
      <c r="G64" s="5">
        <v>48.241150669500001</v>
      </c>
      <c r="H64" s="5">
        <v>57.817019077395756</v>
      </c>
      <c r="I64" s="5">
        <v>1792.3275913992684</v>
      </c>
    </row>
    <row r="65" spans="1:9" ht="24.75">
      <c r="A65" s="5" t="s">
        <v>228</v>
      </c>
      <c r="B65" s="5" t="s">
        <v>235</v>
      </c>
      <c r="C65" s="5" t="s">
        <v>174</v>
      </c>
      <c r="D65" s="5" t="s">
        <v>236</v>
      </c>
      <c r="E65" s="5" t="s">
        <v>16</v>
      </c>
      <c r="F65" s="6" t="s">
        <v>87</v>
      </c>
      <c r="G65" s="5">
        <v>185.21600000000001</v>
      </c>
      <c r="H65" s="5">
        <v>221.98137600000004</v>
      </c>
      <c r="I65" s="5">
        <v>443.96275200000008</v>
      </c>
    </row>
    <row r="66" spans="1:9" ht="24.75">
      <c r="A66" s="5" t="s">
        <v>231</v>
      </c>
      <c r="B66" s="5" t="s">
        <v>237</v>
      </c>
      <c r="C66" s="5" t="s">
        <v>30</v>
      </c>
      <c r="D66" s="5" t="s">
        <v>238</v>
      </c>
      <c r="E66" s="5" t="s">
        <v>16</v>
      </c>
      <c r="F66" s="6" t="s">
        <v>27</v>
      </c>
      <c r="G66" s="5">
        <v>30.46984807794</v>
      </c>
      <c r="H66" s="5">
        <v>36.518112921411095</v>
      </c>
      <c r="I66" s="5">
        <v>109.55433876423328</v>
      </c>
    </row>
    <row r="67" spans="1:9">
      <c r="I67" s="24">
        <v>228408.2</v>
      </c>
    </row>
  </sheetData>
  <mergeCells count="1">
    <mergeCell ref="A1:I2"/>
  </mergeCells>
  <hyperlinks>
    <hyperlink ref="A5" location="'13.3'!A1" display="13.3" xr:uid="{00000000-0004-0000-0000-000000000000}"/>
    <hyperlink ref="A6" location="'13.3.1'!A1" display="13.3.1" xr:uid="{00000000-0004-0000-0000-000001000000}"/>
    <hyperlink ref="F6" location="'13.3.1E'!A1" display="18,00" xr:uid="{00000000-0004-0000-0000-000002000000}"/>
    <hyperlink ref="A7" location="'13.3.2'!A1" display="13.3.2" xr:uid="{00000000-0004-0000-0000-000003000000}"/>
    <hyperlink ref="F7" location="'13.3.2E'!A1" display="24,00" xr:uid="{00000000-0004-0000-0000-000004000000}"/>
    <hyperlink ref="A8" location="'13.3.3'!A1" display="13.3.3" xr:uid="{00000000-0004-0000-0000-000005000000}"/>
    <hyperlink ref="F8" location="'13.3.3E'!A1" display="3,00" xr:uid="{00000000-0004-0000-0000-000006000000}"/>
    <hyperlink ref="A9" location="'13.3.4'!A1" display="13.3.4" xr:uid="{00000000-0004-0000-0000-000007000000}"/>
    <hyperlink ref="F9" location="'13.3.4E'!A1" display="1,00" xr:uid="{00000000-0004-0000-0000-000008000000}"/>
    <hyperlink ref="A10" location="'13.3.5'!A1" display="13.3.5" xr:uid="{00000000-0004-0000-0000-000009000000}"/>
    <hyperlink ref="F10" location="'13.3.5E'!A1" display="26,00" xr:uid="{00000000-0004-0000-0000-00000A000000}"/>
    <hyperlink ref="A11" location="'13.3.6'!A1" display="13.3.6" xr:uid="{00000000-0004-0000-0000-00000B000000}"/>
    <hyperlink ref="F11" location="'13.3.6E'!A1" display="22,00" xr:uid="{00000000-0004-0000-0000-00000C000000}"/>
    <hyperlink ref="A12" location="'13.3.7'!A1" display="13.3.7" xr:uid="{00000000-0004-0000-0000-00000D000000}"/>
    <hyperlink ref="F12" location="'13.3.7E'!A1" display="196,01" xr:uid="{00000000-0004-0000-0000-00000E000000}"/>
    <hyperlink ref="A13" location="'13.3.8'!A1" display="13.3.8" xr:uid="{00000000-0004-0000-0000-00000F000000}"/>
    <hyperlink ref="F13" location="'13.3.8E'!A1" display="0,47" xr:uid="{00000000-0004-0000-0000-000010000000}"/>
    <hyperlink ref="A14" location="'13.3.9'!A1" display="13.3.9" xr:uid="{00000000-0004-0000-0000-000011000000}"/>
    <hyperlink ref="F14" location="'13.3.9E'!A1" display="1,00" xr:uid="{00000000-0004-0000-0000-000012000000}"/>
    <hyperlink ref="A15" location="'13.3.10'!A1" display="13.3.10" xr:uid="{00000000-0004-0000-0000-000013000000}"/>
    <hyperlink ref="F15" location="'13.3.10E'!A1" display="5,05" xr:uid="{00000000-0004-0000-0000-000014000000}"/>
    <hyperlink ref="A16" location="'13.3.11'!A1" display="13.3.11" xr:uid="{00000000-0004-0000-0000-000015000000}"/>
    <hyperlink ref="F16" location="'13.3.11E'!A1" display="12,00" xr:uid="{00000000-0004-0000-0000-000016000000}"/>
    <hyperlink ref="A17" location="'13.3.12'!A1" display="13.3.12" xr:uid="{00000000-0004-0000-0000-000017000000}"/>
    <hyperlink ref="F17" location="'13.3.12E'!A1" display="13,00" xr:uid="{00000000-0004-0000-0000-000018000000}"/>
    <hyperlink ref="A18" location="'13.3.13'!A1" display="13.3.13" xr:uid="{00000000-0004-0000-0000-000019000000}"/>
    <hyperlink ref="F18" location="'13.3.13E'!A1" display="4,00" xr:uid="{00000000-0004-0000-0000-00001A000000}"/>
    <hyperlink ref="A19" location="'13.3.14'!A1" display="13.3.14" xr:uid="{00000000-0004-0000-0000-00001B000000}"/>
    <hyperlink ref="F19" location="'13.3.14E'!A1" display="1,00" xr:uid="{00000000-0004-0000-0000-00001C000000}"/>
    <hyperlink ref="A20" location="'13.3.15'!A1" display="13.3.15" xr:uid="{00000000-0004-0000-0000-00001D000000}"/>
    <hyperlink ref="F20" location="'13.3.15E'!A1" display="7,00" xr:uid="{00000000-0004-0000-0000-00001E000000}"/>
    <hyperlink ref="A21" location="'13.3.16'!A1" display="13.3.16" xr:uid="{00000000-0004-0000-0000-00001F000000}"/>
    <hyperlink ref="F21" location="'13.3.16E'!A1" display="15,00" xr:uid="{00000000-0004-0000-0000-000020000000}"/>
    <hyperlink ref="A22" location="'13.3.17'!A1" display="13.3.17" xr:uid="{00000000-0004-0000-0000-000021000000}"/>
    <hyperlink ref="F22" location="'13.3.17E'!A1" display="73,00" xr:uid="{00000000-0004-0000-0000-000022000000}"/>
    <hyperlink ref="A23" location="'13.3.18'!A1" display="13.3.18" xr:uid="{00000000-0004-0000-0000-000023000000}"/>
    <hyperlink ref="F23" location="'13.3.18E'!A1" display="2,00" xr:uid="{00000000-0004-0000-0000-000024000000}"/>
    <hyperlink ref="A24" location="'13.3.19'!A1" display="13.3.19" xr:uid="{00000000-0004-0000-0000-000025000000}"/>
    <hyperlink ref="F24" location="'13.3.19E'!A1" display="1,00" xr:uid="{00000000-0004-0000-0000-000026000000}"/>
    <hyperlink ref="A25" location="'13.3.20'!A1" display="13.3.20" xr:uid="{00000000-0004-0000-0000-000027000000}"/>
    <hyperlink ref="F25" location="'13.3.20E'!A1" display="43,00" xr:uid="{00000000-0004-0000-0000-000028000000}"/>
    <hyperlink ref="A26" location="'13.3.21'!A1" display="13.3.21" xr:uid="{00000000-0004-0000-0000-000029000000}"/>
    <hyperlink ref="F26" location="'13.3.21E'!A1" display="2,00" xr:uid="{00000000-0004-0000-0000-00002A000000}"/>
    <hyperlink ref="A27" location="'13.3.22'!A1" display="13.3.22" xr:uid="{00000000-0004-0000-0000-00002B000000}"/>
    <hyperlink ref="F27" location="'13.3.22E'!A1" display="2,00" xr:uid="{00000000-0004-0000-0000-00002C000000}"/>
    <hyperlink ref="A28" location="'13.3.23'!A1" display="13.3.23" xr:uid="{00000000-0004-0000-0000-00002D000000}"/>
    <hyperlink ref="F28" location="'13.3.23E'!A1" display="4,00" xr:uid="{00000000-0004-0000-0000-00002E000000}"/>
    <hyperlink ref="A29" location="'13.3.24'!A1" display="13.3.24" xr:uid="{00000000-0004-0000-0000-00002F000000}"/>
    <hyperlink ref="F29" location="'13.3.24E'!A1" display="29,00" xr:uid="{00000000-0004-0000-0000-000030000000}"/>
    <hyperlink ref="A30" location="'13.3.25'!A1" display="13.3.25" xr:uid="{00000000-0004-0000-0000-000031000000}"/>
    <hyperlink ref="F30" location="'13.3.25E'!A1" display="22,00" xr:uid="{00000000-0004-0000-0000-000032000000}"/>
    <hyperlink ref="A31" location="'13.3.26'!A1" display="13.3.26" xr:uid="{00000000-0004-0000-0000-000033000000}"/>
    <hyperlink ref="F31" location="'13.3.26E'!A1" display="1,00" xr:uid="{00000000-0004-0000-0000-000034000000}"/>
    <hyperlink ref="A32" location="'13.3.27'!A1" display="13.3.27" xr:uid="{00000000-0004-0000-0000-000035000000}"/>
    <hyperlink ref="F32" location="'13.3.27E'!A1" display="1,00" xr:uid="{00000000-0004-0000-0000-000036000000}"/>
    <hyperlink ref="A33" location="'13.3.28'!A1" display="13.3.28" xr:uid="{00000000-0004-0000-0000-000037000000}"/>
    <hyperlink ref="F33" location="'13.3.28E'!A1" display="47,00" xr:uid="{00000000-0004-0000-0000-000038000000}"/>
    <hyperlink ref="A34" location="'13.3.29'!A1" display="13.3.29" xr:uid="{00000000-0004-0000-0000-000039000000}"/>
    <hyperlink ref="F34" location="'13.3.29E'!A1" display="6,00" xr:uid="{00000000-0004-0000-0000-00003A000000}"/>
    <hyperlink ref="A35" location="'13.3.30'!A1" display="13.3.30" xr:uid="{00000000-0004-0000-0000-00003B000000}"/>
    <hyperlink ref="F35" location="'13.3.30E'!A1" display="43,84" xr:uid="{00000000-0004-0000-0000-00003C000000}"/>
    <hyperlink ref="A36" location="'13.3.31'!A1" display="13.3.31" xr:uid="{00000000-0004-0000-0000-00003D000000}"/>
    <hyperlink ref="F36" location="'13.3.31E'!A1" display="148,62" xr:uid="{00000000-0004-0000-0000-00003E000000}"/>
    <hyperlink ref="A37" location="'13.3.32'!A1" display="13.3.32" xr:uid="{00000000-0004-0000-0000-00003F000000}"/>
    <hyperlink ref="F37" location="'13.3.32E'!A1" display="72,00" xr:uid="{00000000-0004-0000-0000-000040000000}"/>
    <hyperlink ref="A38" location="'13.3.33'!A1" display="13.3.33" xr:uid="{00000000-0004-0000-0000-000041000000}"/>
    <hyperlink ref="F38" location="'13.3.33E'!A1" display="30,00" xr:uid="{00000000-0004-0000-0000-000042000000}"/>
    <hyperlink ref="A39" location="'13.3.34'!A1" display="13.3.34" xr:uid="{00000000-0004-0000-0000-000043000000}"/>
    <hyperlink ref="F39" location="'13.3.34E'!A1" display="5,00" xr:uid="{00000000-0004-0000-0000-000044000000}"/>
    <hyperlink ref="A40" location="'13.3.35'!A1" display="13.3.35" xr:uid="{00000000-0004-0000-0000-000045000000}"/>
    <hyperlink ref="F40" location="'13.3.35E'!A1" display="18,00" xr:uid="{00000000-0004-0000-0000-000046000000}"/>
    <hyperlink ref="A41" location="'13.3.36'!A1" display="13.3.36" xr:uid="{00000000-0004-0000-0000-000047000000}"/>
    <hyperlink ref="F41" location="'13.3.36E'!A1" display="26,42" xr:uid="{00000000-0004-0000-0000-000048000000}"/>
    <hyperlink ref="A42" location="'13.3.37'!A1" display="13.3.37" xr:uid="{00000000-0004-0000-0000-000049000000}"/>
    <hyperlink ref="F42" location="'13.3.37E'!A1" display="78,88" xr:uid="{00000000-0004-0000-0000-00004A000000}"/>
    <hyperlink ref="A43" location="'13.3.38'!A1" display="13.3.38" xr:uid="{00000000-0004-0000-0000-00004B000000}"/>
    <hyperlink ref="F43" location="'13.3.38E'!A1" display="5,09" xr:uid="{00000000-0004-0000-0000-00004C000000}"/>
    <hyperlink ref="A44" location="'13.3.39'!A1" display="13.3.39" xr:uid="{00000000-0004-0000-0000-00004D000000}"/>
    <hyperlink ref="F44" location="'13.3.39E'!A1" display="75,06" xr:uid="{00000000-0004-0000-0000-00004E000000}"/>
    <hyperlink ref="A45" location="'13.3.40'!A1" display="13.3.40" xr:uid="{00000000-0004-0000-0000-00004F000000}"/>
    <hyperlink ref="F45" location="'13.3.40E'!A1" display="115,32" xr:uid="{00000000-0004-0000-0000-000050000000}"/>
    <hyperlink ref="A46" location="'13.3.41'!A1" display="13.3.41" xr:uid="{00000000-0004-0000-0000-000051000000}"/>
    <hyperlink ref="F46" location="'13.3.41E'!A1" display="110,45" xr:uid="{00000000-0004-0000-0000-000052000000}"/>
    <hyperlink ref="A47" location="'13.3.42'!A1" display="13.3.42" xr:uid="{00000000-0004-0000-0000-000053000000}"/>
    <hyperlink ref="F47" location="'13.3.42E'!A1" display="6,00" xr:uid="{00000000-0004-0000-0000-000054000000}"/>
    <hyperlink ref="A48" location="'13.3.43'!A1" display="13.3.43" xr:uid="{00000000-0004-0000-0000-000055000000}"/>
    <hyperlink ref="F48" location="'13.3.43E'!A1" display="18,00" xr:uid="{00000000-0004-0000-0000-000056000000}"/>
    <hyperlink ref="A49" location="'13.3.44'!A1" display="13.3.44" xr:uid="{00000000-0004-0000-0000-000057000000}"/>
    <hyperlink ref="F49" location="'13.3.44E'!A1" display="11,00" xr:uid="{00000000-0004-0000-0000-000058000000}"/>
    <hyperlink ref="A50" location="'13.3.45'!A1" display="13.3.45" xr:uid="{00000000-0004-0000-0000-000059000000}"/>
    <hyperlink ref="F50" location="'13.3.45E'!A1" display="18,00" xr:uid="{00000000-0004-0000-0000-00005A000000}"/>
    <hyperlink ref="A51" location="'13.3.46'!A1" display="13.3.46" xr:uid="{00000000-0004-0000-0000-00005B000000}"/>
    <hyperlink ref="F51" location="'13.3.46E'!A1" display="1,00" xr:uid="{00000000-0004-0000-0000-00005C000000}"/>
    <hyperlink ref="A52" location="'13.3.48'!A1" display="13.3.48" xr:uid="{00000000-0004-0000-0000-00005F000000}"/>
    <hyperlink ref="F52" location="'13.3.48E'!A1" display="15,00" xr:uid="{00000000-0004-0000-0000-000060000000}"/>
    <hyperlink ref="A53" location="'13.3.49'!A1" display="13.3.49" xr:uid="{00000000-0004-0000-0000-000061000000}"/>
    <hyperlink ref="F53" location="'13.3.49E'!A1" display="2,00" xr:uid="{00000000-0004-0000-0000-000062000000}"/>
    <hyperlink ref="A54" location="'13.3.50'!A1" display="13.3.50" xr:uid="{00000000-0004-0000-0000-000063000000}"/>
    <hyperlink ref="F54" location="'13.3.50E'!A1" display="102,00" xr:uid="{00000000-0004-0000-0000-000064000000}"/>
    <hyperlink ref="A55" location="'13.3.51'!A1" display="13.3.51" xr:uid="{00000000-0004-0000-0000-000065000000}"/>
    <hyperlink ref="F55" location="'13.3.51E'!A1" display="29,00" xr:uid="{00000000-0004-0000-0000-000066000000}"/>
    <hyperlink ref="A56" location="'13.3.52'!A1" display="13.3.52" xr:uid="{00000000-0004-0000-0000-000067000000}"/>
    <hyperlink ref="F56" location="'13.3.52E'!A1" display="22,00" xr:uid="{00000000-0004-0000-0000-000068000000}"/>
    <hyperlink ref="A57" location="'13.3.53'!A1" display="13.3.53" xr:uid="{00000000-0004-0000-0000-000069000000}"/>
    <hyperlink ref="F57" location="'13.3.53E'!A1" display="17,71" xr:uid="{00000000-0004-0000-0000-00006A000000}"/>
    <hyperlink ref="A58" location="'13.3.54'!A1" display="13.3.54" xr:uid="{00000000-0004-0000-0000-00006B000000}"/>
    <hyperlink ref="F58" location="'13.3.54E'!A1" display="198,20" xr:uid="{00000000-0004-0000-0000-00006C000000}"/>
    <hyperlink ref="A59" location="'13.3.56'!A1" display="13.3.56" xr:uid="{00000000-0004-0000-0000-00006F000000}"/>
    <hyperlink ref="F59" location="'13.3.56E'!A1" display="41,00" xr:uid="{00000000-0004-0000-0000-000070000000}"/>
    <hyperlink ref="A60" location="'13.3.57'!A1" display="13.3.57" xr:uid="{00000000-0004-0000-0000-000071000000}"/>
    <hyperlink ref="F60" location="'13.3.57E'!A1" display="42,00" xr:uid="{00000000-0004-0000-0000-000072000000}"/>
    <hyperlink ref="A61" location="'13.3.58'!A1" display="13.3.58" xr:uid="{00000000-0004-0000-0000-000073000000}"/>
    <hyperlink ref="F61" location="'13.3.58E'!A1" display="21,44" xr:uid="{00000000-0004-0000-0000-000074000000}"/>
    <hyperlink ref="A62" location="'13.3.59'!A1" display="13.3.59" xr:uid="{00000000-0004-0000-0000-000075000000}"/>
    <hyperlink ref="F62" location="'13.3.59E'!A1" display="17,71" xr:uid="{00000000-0004-0000-0000-000076000000}"/>
    <hyperlink ref="A63" location="'13.3.60'!A1" display="13.3.60" xr:uid="{00000000-0004-0000-0000-000077000000}"/>
    <hyperlink ref="F63" location="'13.3.60E'!A1" display="6,00" xr:uid="{00000000-0004-0000-0000-000078000000}"/>
    <hyperlink ref="A64" location="'13.3.61'!A1" display="13.3.61" xr:uid="{00000000-0004-0000-0000-000079000000}"/>
    <hyperlink ref="F64" location="'13.3.61E'!A1" display="31,00" xr:uid="{00000000-0004-0000-0000-00007A000000}"/>
    <hyperlink ref="A65" location="'13.3.62'!A1" display="13.3.62" xr:uid="{00000000-0004-0000-0000-00007B000000}"/>
    <hyperlink ref="F65" location="'13.3.62E'!A1" display="2,00" xr:uid="{00000000-0004-0000-0000-00007C000000}"/>
    <hyperlink ref="A66" location="'13.3.63'!A1" display="13.3.63" xr:uid="{00000000-0004-0000-0000-00007D000000}"/>
    <hyperlink ref="F66" location="'13.3.63E'!A1" display="3,00" xr:uid="{00000000-0004-0000-0000-00007E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46</v>
      </c>
      <c r="B2" s="5" t="s">
        <v>47</v>
      </c>
      <c r="C2" s="5" t="s">
        <v>25</v>
      </c>
      <c r="D2" s="5" t="s">
        <v>48</v>
      </c>
      <c r="E2" s="5" t="s">
        <v>44</v>
      </c>
      <c r="F2" s="5" t="s">
        <v>49</v>
      </c>
      <c r="G2" s="5">
        <v>24.982716</v>
      </c>
      <c r="H2" s="5">
        <v>29.941785126000003</v>
      </c>
      <c r="I2" s="5">
        <v>14.072639009220001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298</v>
      </c>
      <c r="E8" s="8">
        <v>0.47356852582739578</v>
      </c>
    </row>
    <row r="9" spans="1:9">
      <c r="A9" s="8" t="s">
        <v>246</v>
      </c>
      <c r="B9" s="8" t="s">
        <v>246</v>
      </c>
      <c r="C9" s="8">
        <f>SUBTOTAL(109,Criteria_Summary13.3.8[Elementos])</f>
        <v>2</v>
      </c>
      <c r="D9" s="8" t="s">
        <v>246</v>
      </c>
      <c r="E9" s="8">
        <f>SUBTOTAL(109,Criteria_Summary13.3.8[Total])</f>
        <v>0.47356852582739578</v>
      </c>
    </row>
    <row r="10" spans="1:9">
      <c r="A10" s="9" t="s">
        <v>247</v>
      </c>
      <c r="B10" s="9">
        <v>0</v>
      </c>
      <c r="C10" s="10"/>
      <c r="D10" s="10"/>
      <c r="E10" s="9">
        <v>0.47</v>
      </c>
    </row>
    <row r="13" spans="1:9">
      <c r="A13" s="15" t="s">
        <v>298</v>
      </c>
      <c r="B13" s="15" t="s">
        <v>298</v>
      </c>
      <c r="C13" s="15" t="s">
        <v>298</v>
      </c>
      <c r="D13" s="15" t="s">
        <v>298</v>
      </c>
      <c r="E13" s="15" t="s">
        <v>298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293</v>
      </c>
      <c r="D16" s="18" t="s">
        <v>293</v>
      </c>
      <c r="E16" s="8">
        <v>0.47356852582739578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295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36.75">
      <c r="A24" s="8" t="s">
        <v>241</v>
      </c>
      <c r="B24" s="8" t="s">
        <v>271</v>
      </c>
      <c r="C24" s="8" t="s">
        <v>299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300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8" xr:uid="{00000000-0004-0000-0900-000000000000}"/>
    <hyperlink ref="F2" location="'13.3.8E'!A1" display="0,47" xr:uid="{00000000-0004-0000-0900-000001000000}"/>
    <hyperlink ref="E10" location="'13.3.8E'!A1" display="'13.3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3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147</v>
      </c>
      <c r="B1" s="20" t="s">
        <v>147</v>
      </c>
      <c r="C1" s="20" t="s">
        <v>147</v>
      </c>
      <c r="D1" s="20" t="s">
        <v>147</v>
      </c>
      <c r="E1" s="20" t="s">
        <v>147</v>
      </c>
    </row>
    <row r="2" spans="1:5">
      <c r="A2" s="20" t="s">
        <v>147</v>
      </c>
      <c r="B2" s="20" t="s">
        <v>147</v>
      </c>
      <c r="C2" s="20" t="s">
        <v>147</v>
      </c>
      <c r="D2" s="20" t="s">
        <v>147</v>
      </c>
      <c r="E2" s="20" t="s">
        <v>147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1334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1335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1336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1337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1338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1339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1340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1341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1342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1343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1344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1345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1346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1347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1348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1349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1350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1351</v>
      </c>
      <c r="E24" s="8">
        <v>1</v>
      </c>
    </row>
    <row r="25" spans="1:5">
      <c r="A25" s="1" t="s">
        <v>246</v>
      </c>
      <c r="B25" s="1" t="s">
        <v>246</v>
      </c>
      <c r="C25" s="1">
        <f>SUBTOTAL(103,Elements13_3_351[Elemento])</f>
        <v>18</v>
      </c>
      <c r="D25" s="1" t="s">
        <v>246</v>
      </c>
      <c r="E25" s="1">
        <f>SUBTOTAL(109,Elements13_3_351[Totais:])</f>
        <v>18</v>
      </c>
    </row>
  </sheetData>
  <mergeCells count="3">
    <mergeCell ref="A1:E2"/>
    <mergeCell ref="A4:E4"/>
    <mergeCell ref="A5:E5"/>
  </mergeCells>
  <hyperlinks>
    <hyperlink ref="A1" location="'13.3.35'!A1" display="JOELHO 90 GRAUS, PVC, SERIE NORMAL, ESGOTO PREDIAL, DN 100 MM, JUNTA ELÁSTICA, FORNECIDO E INSTALADO EM RAMAL DE DESCARGA OU RAMAL DE ESGOTO SANITÁRIO. AF_08/2022" xr:uid="{00000000-0004-0000-6300-000000000000}"/>
    <hyperlink ref="B1" location="'13.3.35'!A1" display="JOELHO 90 GRAUS, PVC, SERIE NORMAL, ESGOTO PREDIAL, DN 100 MM, JUNTA ELÁSTICA, FORNECIDO E INSTALADO EM RAMAL DE DESCARGA OU RAMAL DE ESGOTO SANITÁRIO. AF_08/2022" xr:uid="{00000000-0004-0000-6300-000001000000}"/>
    <hyperlink ref="C1" location="'13.3.35'!A1" display="JOELHO 90 GRAUS, PVC, SERIE NORMAL, ESGOTO PREDIAL, DN 100 MM, JUNTA ELÁSTICA, FORNECIDO E INSTALADO EM RAMAL DE DESCARGA OU RAMAL DE ESGOTO SANITÁRIO. AF_08/2022" xr:uid="{00000000-0004-0000-6300-000002000000}"/>
    <hyperlink ref="D1" location="'13.3.35'!A1" display="JOELHO 90 GRAUS, PVC, SERIE NORMAL, ESGOTO PREDIAL, DN 100 MM, JUNTA ELÁSTICA, FORNECIDO E INSTALADO EM RAMAL DE DESCARGA OU RAMAL DE ESGOTO SANITÁRIO. AF_08/2022" xr:uid="{00000000-0004-0000-6300-000003000000}"/>
    <hyperlink ref="E1" location="'13.3.35'!A1" display="JOELHO 90 GRAUS, PVC, SERIE NORMAL, ESGOTO PREDIAL, DN 100 MM, JUNTA ELÁSTICA, FORNECIDO E INSTALADO EM RAMAL DE DESCARGA OU RAMAL DE ESGOTO SANITÁRIO. AF_08/2022" xr:uid="{00000000-0004-0000-6300-000004000000}"/>
    <hyperlink ref="A2" location="'13.3.35'!A1" display="JOELHO 90 GRAUS, PVC, SERIE NORMAL, ESGOTO PREDIAL, DN 100 MM, JUNTA ELÁSTICA, FORNECIDO E INSTALADO EM RAMAL DE DESCARGA OU RAMAL DE ESGOTO SANITÁRIO. AF_08/2022" xr:uid="{00000000-0004-0000-6300-000005000000}"/>
    <hyperlink ref="B2" location="'13.3.35'!A1" display="JOELHO 90 GRAUS, PVC, SERIE NORMAL, ESGOTO PREDIAL, DN 100 MM, JUNTA ELÁSTICA, FORNECIDO E INSTALADO EM RAMAL DE DESCARGA OU RAMAL DE ESGOTO SANITÁRIO. AF_08/2022" xr:uid="{00000000-0004-0000-6300-000006000000}"/>
    <hyperlink ref="C2" location="'13.3.35'!A1" display="JOELHO 90 GRAUS, PVC, SERIE NORMAL, ESGOTO PREDIAL, DN 100 MM, JUNTA ELÁSTICA, FORNECIDO E INSTALADO EM RAMAL DE DESCARGA OU RAMAL DE ESGOTO SANITÁRIO. AF_08/2022" xr:uid="{00000000-0004-0000-6300-000007000000}"/>
    <hyperlink ref="D2" location="'13.3.35'!A1" display="JOELHO 90 GRAUS, PVC, SERIE NORMAL, ESGOTO PREDIAL, DN 100 MM, JUNTA ELÁSTICA, FORNECIDO E INSTALADO EM RAMAL DE DESCARGA OU RAMAL DE ESGOTO SANITÁRIO. AF_08/2022" xr:uid="{00000000-0004-0000-6300-000008000000}"/>
    <hyperlink ref="E2" location="'13.3.35'!A1" display="JOELHO 90 GRAUS, PVC, SERIE NORMAL, ESGOTO PREDIAL, DN 100 MM, JUNTA ELÁSTICA, FORNECIDO E INSTALADO EM RAMAL DE DESCARGA OU RAMAL DE ESGOTO SANITÁRIO. AF_08/2022" xr:uid="{00000000-0004-0000-6300-000009000000}"/>
    <hyperlink ref="A4" location="'13.3.35'!A1" display="Conexões de tubo (Afastamento)" xr:uid="{00000000-0004-0000-6300-00000A000000}"/>
    <hyperlink ref="B4" location="'13.3.35'!A1" display="Conexões de tubo (Afastamento)" xr:uid="{00000000-0004-0000-6300-00000B000000}"/>
    <hyperlink ref="C4" location="'13.3.35'!A1" display="Conexões de tubo (Afastamento)" xr:uid="{00000000-0004-0000-6300-00000C000000}"/>
    <hyperlink ref="D4" location="'13.3.35'!A1" display="Conexões de tubo (Afastamento)" xr:uid="{00000000-0004-0000-6300-00000D000000}"/>
    <hyperlink ref="E4" location="'13.3.35'!A1" display="Conexões de tubo (Afastamento)" xr:uid="{00000000-0004-0000-6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400-000000000000}">
  <dimension ref="A1:E2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150</v>
      </c>
      <c r="B1" s="20" t="s">
        <v>150</v>
      </c>
      <c r="C1" s="20" t="s">
        <v>150</v>
      </c>
      <c r="D1" s="20" t="s">
        <v>150</v>
      </c>
      <c r="E1" s="20" t="s">
        <v>150</v>
      </c>
    </row>
    <row r="2" spans="1:5">
      <c r="A2" s="20" t="s">
        <v>150</v>
      </c>
      <c r="B2" s="20" t="s">
        <v>150</v>
      </c>
      <c r="C2" s="20" t="s">
        <v>150</v>
      </c>
      <c r="D2" s="20" t="s">
        <v>150</v>
      </c>
      <c r="E2" s="20" t="s">
        <v>150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351</v>
      </c>
      <c r="D7" s="8" t="s">
        <v>1352</v>
      </c>
      <c r="E7" s="8">
        <v>2.8696351455255238</v>
      </c>
    </row>
    <row r="8" spans="1:5" ht="24.75">
      <c r="A8" s="8" t="s">
        <v>399</v>
      </c>
      <c r="B8" s="8" t="s">
        <v>253</v>
      </c>
      <c r="C8" s="8" t="s">
        <v>351</v>
      </c>
      <c r="D8" s="8" t="s">
        <v>1353</v>
      </c>
      <c r="E8" s="8">
        <v>9.0612798414313328E-3</v>
      </c>
    </row>
    <row r="9" spans="1:5" ht="24.75">
      <c r="A9" s="8" t="s">
        <v>399</v>
      </c>
      <c r="B9" s="8" t="s">
        <v>253</v>
      </c>
      <c r="C9" s="8" t="s">
        <v>351</v>
      </c>
      <c r="D9" s="8" t="s">
        <v>1354</v>
      </c>
      <c r="E9" s="8">
        <v>4.1590849595024126</v>
      </c>
    </row>
    <row r="10" spans="1:5" ht="24.75">
      <c r="A10" s="8" t="s">
        <v>399</v>
      </c>
      <c r="B10" s="8" t="s">
        <v>253</v>
      </c>
      <c r="C10" s="8" t="s">
        <v>351</v>
      </c>
      <c r="D10" s="8" t="s">
        <v>1355</v>
      </c>
      <c r="E10" s="8">
        <v>2.714798516794878</v>
      </c>
    </row>
    <row r="11" spans="1:5" ht="24.75">
      <c r="A11" s="8" t="s">
        <v>399</v>
      </c>
      <c r="B11" s="8" t="s">
        <v>253</v>
      </c>
      <c r="C11" s="8" t="s">
        <v>351</v>
      </c>
      <c r="D11" s="8" t="s">
        <v>1356</v>
      </c>
      <c r="E11" s="8">
        <v>8.0152675686018846E-2</v>
      </c>
    </row>
    <row r="12" spans="1:5" ht="24.75">
      <c r="A12" s="8" t="s">
        <v>399</v>
      </c>
      <c r="B12" s="8" t="s">
        <v>253</v>
      </c>
      <c r="C12" s="8" t="s">
        <v>351</v>
      </c>
      <c r="D12" s="8" t="s">
        <v>1357</v>
      </c>
      <c r="E12" s="8">
        <v>1.9945247487229791</v>
      </c>
    </row>
    <row r="13" spans="1:5" ht="24.75">
      <c r="A13" s="8" t="s">
        <v>399</v>
      </c>
      <c r="B13" s="8" t="s">
        <v>253</v>
      </c>
      <c r="C13" s="8" t="s">
        <v>351</v>
      </c>
      <c r="D13" s="8" t="s">
        <v>1358</v>
      </c>
      <c r="E13" s="8">
        <v>2.5944571720357419</v>
      </c>
    </row>
    <row r="14" spans="1:5" ht="24.75">
      <c r="A14" s="8" t="s">
        <v>399</v>
      </c>
      <c r="B14" s="8" t="s">
        <v>253</v>
      </c>
      <c r="C14" s="8" t="s">
        <v>351</v>
      </c>
      <c r="D14" s="8" t="s">
        <v>1359</v>
      </c>
      <c r="E14" s="8">
        <v>1.7888993545044671E-2</v>
      </c>
    </row>
    <row r="15" spans="1:5" ht="24.75">
      <c r="A15" s="8" t="s">
        <v>399</v>
      </c>
      <c r="B15" s="8" t="s">
        <v>253</v>
      </c>
      <c r="C15" s="8" t="s">
        <v>351</v>
      </c>
      <c r="D15" s="8" t="s">
        <v>1360</v>
      </c>
      <c r="E15" s="8">
        <v>0.33079812033980854</v>
      </c>
    </row>
    <row r="16" spans="1:5" ht="24.75">
      <c r="A16" s="8" t="s">
        <v>399</v>
      </c>
      <c r="B16" s="8" t="s">
        <v>253</v>
      </c>
      <c r="C16" s="8" t="s">
        <v>351</v>
      </c>
      <c r="D16" s="8" t="s">
        <v>1361</v>
      </c>
      <c r="E16" s="8">
        <v>4.6371253720889163</v>
      </c>
    </row>
    <row r="17" spans="1:5" ht="24.75">
      <c r="A17" s="8" t="s">
        <v>399</v>
      </c>
      <c r="B17" s="8" t="s">
        <v>253</v>
      </c>
      <c r="C17" s="8" t="s">
        <v>351</v>
      </c>
      <c r="D17" s="8" t="s">
        <v>1362</v>
      </c>
      <c r="E17" s="8">
        <v>0.53689860692567526</v>
      </c>
    </row>
    <row r="18" spans="1:5" ht="24.75">
      <c r="A18" s="8" t="s">
        <v>399</v>
      </c>
      <c r="B18" s="8" t="s">
        <v>253</v>
      </c>
      <c r="C18" s="8" t="s">
        <v>351</v>
      </c>
      <c r="D18" s="8" t="s">
        <v>1363</v>
      </c>
      <c r="E18" s="8">
        <v>3.7639542011415905</v>
      </c>
    </row>
    <row r="19" spans="1:5" ht="24.75">
      <c r="A19" s="8" t="s">
        <v>399</v>
      </c>
      <c r="B19" s="8" t="s">
        <v>253</v>
      </c>
      <c r="C19" s="8" t="s">
        <v>351</v>
      </c>
      <c r="D19" s="8" t="s">
        <v>1364</v>
      </c>
      <c r="E19" s="8">
        <v>2.7108380500487468</v>
      </c>
    </row>
    <row r="20" spans="1:5">
      <c r="A20" s="1" t="s">
        <v>246</v>
      </c>
      <c r="B20" s="1" t="s">
        <v>246</v>
      </c>
      <c r="C20" s="1">
        <f>SUBTOTAL(103,Elements13_3_361[Elemento])</f>
        <v>13</v>
      </c>
      <c r="D20" s="1" t="s">
        <v>246</v>
      </c>
      <c r="E20" s="1">
        <f>SUBTOTAL(109,Elements13_3_361[Totais:])</f>
        <v>26.419217842198766</v>
      </c>
    </row>
  </sheetData>
  <mergeCells count="3">
    <mergeCell ref="A1:E2"/>
    <mergeCell ref="A4:E4"/>
    <mergeCell ref="A5:E5"/>
  </mergeCells>
  <hyperlinks>
    <hyperlink ref="A1" location="'13.3.36'!A1" display="TUBO PVC, SERIE NORMAL, ESGOTO PREDIAL, DN 75 MM, FORNECIDO E INSTALADO EM PRUMADA DE ESGOTO SANITÁRIO OU VENTILAÇÃO. AF_08/2022" xr:uid="{00000000-0004-0000-6400-000000000000}"/>
    <hyperlink ref="B1" location="'13.3.36'!A1" display="TUBO PVC, SERIE NORMAL, ESGOTO PREDIAL, DN 75 MM, FORNECIDO E INSTALADO EM PRUMADA DE ESGOTO SANITÁRIO OU VENTILAÇÃO. AF_08/2022" xr:uid="{00000000-0004-0000-6400-000001000000}"/>
    <hyperlink ref="C1" location="'13.3.36'!A1" display="TUBO PVC, SERIE NORMAL, ESGOTO PREDIAL, DN 75 MM, FORNECIDO E INSTALADO EM PRUMADA DE ESGOTO SANITÁRIO OU VENTILAÇÃO. AF_08/2022" xr:uid="{00000000-0004-0000-6400-000002000000}"/>
    <hyperlink ref="D1" location="'13.3.36'!A1" display="TUBO PVC, SERIE NORMAL, ESGOTO PREDIAL, DN 75 MM, FORNECIDO E INSTALADO EM PRUMADA DE ESGOTO SANITÁRIO OU VENTILAÇÃO. AF_08/2022" xr:uid="{00000000-0004-0000-6400-000003000000}"/>
    <hyperlink ref="E1" location="'13.3.36'!A1" display="TUBO PVC, SERIE NORMAL, ESGOTO PREDIAL, DN 75 MM, FORNECIDO E INSTALADO EM PRUMADA DE ESGOTO SANITÁRIO OU VENTILAÇÃO. AF_08/2022" xr:uid="{00000000-0004-0000-6400-000004000000}"/>
    <hyperlink ref="A2" location="'13.3.36'!A1" display="TUBO PVC, SERIE NORMAL, ESGOTO PREDIAL, DN 75 MM, FORNECIDO E INSTALADO EM PRUMADA DE ESGOTO SANITÁRIO OU VENTILAÇÃO. AF_08/2022" xr:uid="{00000000-0004-0000-6400-000005000000}"/>
    <hyperlink ref="B2" location="'13.3.36'!A1" display="TUBO PVC, SERIE NORMAL, ESGOTO PREDIAL, DN 75 MM, FORNECIDO E INSTALADO EM PRUMADA DE ESGOTO SANITÁRIO OU VENTILAÇÃO. AF_08/2022" xr:uid="{00000000-0004-0000-6400-000006000000}"/>
    <hyperlink ref="C2" location="'13.3.36'!A1" display="TUBO PVC, SERIE NORMAL, ESGOTO PREDIAL, DN 75 MM, FORNECIDO E INSTALADO EM PRUMADA DE ESGOTO SANITÁRIO OU VENTILAÇÃO. AF_08/2022" xr:uid="{00000000-0004-0000-6400-000007000000}"/>
    <hyperlink ref="D2" location="'13.3.36'!A1" display="TUBO PVC, SERIE NORMAL, ESGOTO PREDIAL, DN 75 MM, FORNECIDO E INSTALADO EM PRUMADA DE ESGOTO SANITÁRIO OU VENTILAÇÃO. AF_08/2022" xr:uid="{00000000-0004-0000-6400-000008000000}"/>
    <hyperlink ref="E2" location="'13.3.36'!A1" display="TUBO PVC, SERIE NORMAL, ESGOTO PREDIAL, DN 75 MM, FORNECIDO E INSTALADO EM PRUMADA DE ESGOTO SANITÁRIO OU VENTILAÇÃO. AF_08/2022" xr:uid="{00000000-0004-0000-6400-000009000000}"/>
    <hyperlink ref="A4" location="'13.3.36'!A1" display="Tubulação (Comprimento)" xr:uid="{00000000-0004-0000-6400-00000A000000}"/>
    <hyperlink ref="B4" location="'13.3.36'!A1" display="Tubulação (Comprimento)" xr:uid="{00000000-0004-0000-6400-00000B000000}"/>
    <hyperlink ref="C4" location="'13.3.36'!A1" display="Tubulação (Comprimento)" xr:uid="{00000000-0004-0000-6400-00000C000000}"/>
    <hyperlink ref="D4" location="'13.3.36'!A1" display="Tubulação (Comprimento)" xr:uid="{00000000-0004-0000-6400-00000D000000}"/>
    <hyperlink ref="E4" location="'13.3.36'!A1" display="Tubulação (Comprimento)" xr:uid="{00000000-0004-0000-6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500-000000000000}">
  <dimension ref="A1:E10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154</v>
      </c>
      <c r="B1" s="20" t="s">
        <v>154</v>
      </c>
      <c r="C1" s="20" t="s">
        <v>154</v>
      </c>
      <c r="D1" s="20" t="s">
        <v>154</v>
      </c>
      <c r="E1" s="20" t="s">
        <v>154</v>
      </c>
    </row>
    <row r="2" spans="1:5">
      <c r="A2" s="20" t="s">
        <v>154</v>
      </c>
      <c r="B2" s="20" t="s">
        <v>154</v>
      </c>
      <c r="C2" s="20" t="s">
        <v>154</v>
      </c>
      <c r="D2" s="20" t="s">
        <v>154</v>
      </c>
      <c r="E2" s="20" t="s">
        <v>154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351</v>
      </c>
      <c r="D7" s="8" t="s">
        <v>1365</v>
      </c>
      <c r="E7" s="8">
        <v>0.49234015337439918</v>
      </c>
    </row>
    <row r="8" spans="1:5" ht="24.75">
      <c r="A8" s="8" t="s">
        <v>399</v>
      </c>
      <c r="B8" s="8" t="s">
        <v>253</v>
      </c>
      <c r="C8" s="8" t="s">
        <v>351</v>
      </c>
      <c r="D8" s="8" t="s">
        <v>1366</v>
      </c>
      <c r="E8" s="8">
        <v>1.4329575580921625</v>
      </c>
    </row>
    <row r="9" spans="1:5" ht="24.75">
      <c r="A9" s="8" t="s">
        <v>399</v>
      </c>
      <c r="B9" s="8" t="s">
        <v>253</v>
      </c>
      <c r="C9" s="8" t="s">
        <v>351</v>
      </c>
      <c r="D9" s="8" t="s">
        <v>1367</v>
      </c>
      <c r="E9" s="8">
        <v>0.47602475601735683</v>
      </c>
    </row>
    <row r="10" spans="1:5" ht="24.75">
      <c r="A10" s="8" t="s">
        <v>399</v>
      </c>
      <c r="B10" s="8" t="s">
        <v>253</v>
      </c>
      <c r="C10" s="8" t="s">
        <v>351</v>
      </c>
      <c r="D10" s="8" t="s">
        <v>1368</v>
      </c>
      <c r="E10" s="8">
        <v>1.4266088088299362</v>
      </c>
    </row>
    <row r="11" spans="1:5" ht="24.75">
      <c r="A11" s="8" t="s">
        <v>399</v>
      </c>
      <c r="B11" s="8" t="s">
        <v>253</v>
      </c>
      <c r="C11" s="8" t="s">
        <v>351</v>
      </c>
      <c r="D11" s="8" t="s">
        <v>1369</v>
      </c>
      <c r="E11" s="8">
        <v>4.4348244492102076E-3</v>
      </c>
    </row>
    <row r="12" spans="1:5" ht="24.75">
      <c r="A12" s="8" t="s">
        <v>399</v>
      </c>
      <c r="B12" s="8" t="s">
        <v>253</v>
      </c>
      <c r="C12" s="8" t="s">
        <v>351</v>
      </c>
      <c r="D12" s="8" t="s">
        <v>1370</v>
      </c>
      <c r="E12" s="8">
        <v>0.51588353749044757</v>
      </c>
    </row>
    <row r="13" spans="1:5" ht="24.75">
      <c r="A13" s="8" t="s">
        <v>399</v>
      </c>
      <c r="B13" s="8" t="s">
        <v>253</v>
      </c>
      <c r="C13" s="8" t="s">
        <v>351</v>
      </c>
      <c r="D13" s="8" t="s">
        <v>1371</v>
      </c>
      <c r="E13" s="8">
        <v>0.57098350295452993</v>
      </c>
    </row>
    <row r="14" spans="1:5" ht="24.75">
      <c r="A14" s="8" t="s">
        <v>399</v>
      </c>
      <c r="B14" s="8" t="s">
        <v>253</v>
      </c>
      <c r="C14" s="8" t="s">
        <v>351</v>
      </c>
      <c r="D14" s="8" t="s">
        <v>1372</v>
      </c>
      <c r="E14" s="8">
        <v>0.52445943453271993</v>
      </c>
    </row>
    <row r="15" spans="1:5" ht="24.75">
      <c r="A15" s="8" t="s">
        <v>399</v>
      </c>
      <c r="B15" s="8" t="s">
        <v>253</v>
      </c>
      <c r="C15" s="8" t="s">
        <v>351</v>
      </c>
      <c r="D15" s="8" t="s">
        <v>1373</v>
      </c>
      <c r="E15" s="8">
        <v>1.5560675397217963E-2</v>
      </c>
    </row>
    <row r="16" spans="1:5" ht="24.75">
      <c r="A16" s="8" t="s">
        <v>399</v>
      </c>
      <c r="B16" s="8" t="s">
        <v>253</v>
      </c>
      <c r="C16" s="8" t="s">
        <v>351</v>
      </c>
      <c r="D16" s="8" t="s">
        <v>1374</v>
      </c>
      <c r="E16" s="8">
        <v>1.4218039358434014</v>
      </c>
    </row>
    <row r="17" spans="1:5" ht="24.75">
      <c r="A17" s="8" t="s">
        <v>399</v>
      </c>
      <c r="B17" s="8" t="s">
        <v>253</v>
      </c>
      <c r="C17" s="8" t="s">
        <v>351</v>
      </c>
      <c r="D17" s="8" t="s">
        <v>1375</v>
      </c>
      <c r="E17" s="8">
        <v>1.1413989021202187E-2</v>
      </c>
    </row>
    <row r="18" spans="1:5" ht="24.75">
      <c r="A18" s="8" t="s">
        <v>399</v>
      </c>
      <c r="B18" s="8" t="s">
        <v>253</v>
      </c>
      <c r="C18" s="8" t="s">
        <v>351</v>
      </c>
      <c r="D18" s="8" t="s">
        <v>1376</v>
      </c>
      <c r="E18" s="8">
        <v>1.1699730068344154</v>
      </c>
    </row>
    <row r="19" spans="1:5" ht="24.75">
      <c r="A19" s="8" t="s">
        <v>399</v>
      </c>
      <c r="B19" s="8" t="s">
        <v>253</v>
      </c>
      <c r="C19" s="8" t="s">
        <v>351</v>
      </c>
      <c r="D19" s="8" t="s">
        <v>1377</v>
      </c>
      <c r="E19" s="8">
        <v>0.70657011870374165</v>
      </c>
    </row>
    <row r="20" spans="1:5" ht="24.75">
      <c r="A20" s="8" t="s">
        <v>399</v>
      </c>
      <c r="B20" s="8" t="s">
        <v>253</v>
      </c>
      <c r="C20" s="8" t="s">
        <v>351</v>
      </c>
      <c r="D20" s="8" t="s">
        <v>1378</v>
      </c>
      <c r="E20" s="8">
        <v>0.51330036912398957</v>
      </c>
    </row>
    <row r="21" spans="1:5" ht="24.75">
      <c r="A21" s="8" t="s">
        <v>399</v>
      </c>
      <c r="B21" s="8" t="s">
        <v>253</v>
      </c>
      <c r="C21" s="8" t="s">
        <v>351</v>
      </c>
      <c r="D21" s="8" t="s">
        <v>1379</v>
      </c>
      <c r="E21" s="8">
        <v>4.8898304334266385</v>
      </c>
    </row>
    <row r="22" spans="1:5" ht="24.75">
      <c r="A22" s="8" t="s">
        <v>399</v>
      </c>
      <c r="B22" s="8" t="s">
        <v>253</v>
      </c>
      <c r="C22" s="8" t="s">
        <v>351</v>
      </c>
      <c r="D22" s="8" t="s">
        <v>1380</v>
      </c>
      <c r="E22" s="8">
        <v>1.1062140672937613</v>
      </c>
    </row>
    <row r="23" spans="1:5" ht="24.75">
      <c r="A23" s="8" t="s">
        <v>399</v>
      </c>
      <c r="B23" s="8" t="s">
        <v>253</v>
      </c>
      <c r="C23" s="8" t="s">
        <v>351</v>
      </c>
      <c r="D23" s="8" t="s">
        <v>1381</v>
      </c>
      <c r="E23" s="8">
        <v>2.1537801410870774</v>
      </c>
    </row>
    <row r="24" spans="1:5" ht="24.75">
      <c r="A24" s="8" t="s">
        <v>399</v>
      </c>
      <c r="B24" s="8" t="s">
        <v>253</v>
      </c>
      <c r="C24" s="8" t="s">
        <v>351</v>
      </c>
      <c r="D24" s="8" t="s">
        <v>1382</v>
      </c>
      <c r="E24" s="8">
        <v>2.6925932743859926</v>
      </c>
    </row>
    <row r="25" spans="1:5" ht="24.75">
      <c r="A25" s="8" t="s">
        <v>399</v>
      </c>
      <c r="B25" s="8" t="s">
        <v>253</v>
      </c>
      <c r="C25" s="8" t="s">
        <v>351</v>
      </c>
      <c r="D25" s="8" t="s">
        <v>1383</v>
      </c>
      <c r="E25" s="8">
        <v>0.49876538688937949</v>
      </c>
    </row>
    <row r="26" spans="1:5" ht="24.75">
      <c r="A26" s="8" t="s">
        <v>399</v>
      </c>
      <c r="B26" s="8" t="s">
        <v>253</v>
      </c>
      <c r="C26" s="8" t="s">
        <v>351</v>
      </c>
      <c r="D26" s="8" t="s">
        <v>1384</v>
      </c>
      <c r="E26" s="8">
        <v>0.56117887812742739</v>
      </c>
    </row>
    <row r="27" spans="1:5" ht="24.75">
      <c r="A27" s="8" t="s">
        <v>399</v>
      </c>
      <c r="B27" s="8" t="s">
        <v>253</v>
      </c>
      <c r="C27" s="8" t="s">
        <v>351</v>
      </c>
      <c r="D27" s="8" t="s">
        <v>1385</v>
      </c>
      <c r="E27" s="8">
        <v>0.30947875227074745</v>
      </c>
    </row>
    <row r="28" spans="1:5" ht="24.75">
      <c r="A28" s="8" t="s">
        <v>399</v>
      </c>
      <c r="B28" s="8" t="s">
        <v>253</v>
      </c>
      <c r="C28" s="8" t="s">
        <v>351</v>
      </c>
      <c r="D28" s="8" t="s">
        <v>1386</v>
      </c>
      <c r="E28" s="8">
        <v>3.4233332370249019</v>
      </c>
    </row>
    <row r="29" spans="1:5" ht="24.75">
      <c r="A29" s="8" t="s">
        <v>399</v>
      </c>
      <c r="B29" s="8" t="s">
        <v>253</v>
      </c>
      <c r="C29" s="8" t="s">
        <v>351</v>
      </c>
      <c r="D29" s="8" t="s">
        <v>1387</v>
      </c>
      <c r="E29" s="8">
        <v>0.58586946899211645</v>
      </c>
    </row>
    <row r="30" spans="1:5" ht="24.75">
      <c r="A30" s="8" t="s">
        <v>399</v>
      </c>
      <c r="B30" s="8" t="s">
        <v>253</v>
      </c>
      <c r="C30" s="8" t="s">
        <v>351</v>
      </c>
      <c r="D30" s="8" t="s">
        <v>1388</v>
      </c>
      <c r="E30" s="8">
        <v>5.5474715309370481E-2</v>
      </c>
    </row>
    <row r="31" spans="1:5" ht="24.75">
      <c r="A31" s="8" t="s">
        <v>399</v>
      </c>
      <c r="B31" s="8" t="s">
        <v>253</v>
      </c>
      <c r="C31" s="8" t="s">
        <v>351</v>
      </c>
      <c r="D31" s="8" t="s">
        <v>1389</v>
      </c>
      <c r="E31" s="8">
        <v>0.4999582574605751</v>
      </c>
    </row>
    <row r="32" spans="1:5" ht="24.75">
      <c r="A32" s="8" t="s">
        <v>399</v>
      </c>
      <c r="B32" s="8" t="s">
        <v>253</v>
      </c>
      <c r="C32" s="8" t="s">
        <v>351</v>
      </c>
      <c r="D32" s="8" t="s">
        <v>1390</v>
      </c>
      <c r="E32" s="8">
        <v>0.65291267493976302</v>
      </c>
    </row>
    <row r="33" spans="1:5" ht="24.75">
      <c r="A33" s="8" t="s">
        <v>399</v>
      </c>
      <c r="B33" s="8" t="s">
        <v>253</v>
      </c>
      <c r="C33" s="8" t="s">
        <v>351</v>
      </c>
      <c r="D33" s="8" t="s">
        <v>1391</v>
      </c>
      <c r="E33" s="8">
        <v>3.0400000000000005</v>
      </c>
    </row>
    <row r="34" spans="1:5" ht="24.75">
      <c r="A34" s="8" t="s">
        <v>399</v>
      </c>
      <c r="B34" s="8" t="s">
        <v>253</v>
      </c>
      <c r="C34" s="8" t="s">
        <v>351</v>
      </c>
      <c r="D34" s="8" t="s">
        <v>1392</v>
      </c>
      <c r="E34" s="8">
        <v>0.6437957240839125</v>
      </c>
    </row>
    <row r="35" spans="1:5" ht="24.75">
      <c r="A35" s="8" t="s">
        <v>399</v>
      </c>
      <c r="B35" s="8" t="s">
        <v>253</v>
      </c>
      <c r="C35" s="8" t="s">
        <v>351</v>
      </c>
      <c r="D35" s="8" t="s">
        <v>1393</v>
      </c>
      <c r="E35" s="8">
        <v>0.10687933186971148</v>
      </c>
    </row>
    <row r="36" spans="1:5" ht="24.75">
      <c r="A36" s="8" t="s">
        <v>399</v>
      </c>
      <c r="B36" s="8" t="s">
        <v>253</v>
      </c>
      <c r="C36" s="8" t="s">
        <v>351</v>
      </c>
      <c r="D36" s="8" t="s">
        <v>1394</v>
      </c>
      <c r="E36" s="8">
        <v>0.49835848043772935</v>
      </c>
    </row>
    <row r="37" spans="1:5" ht="24.75">
      <c r="A37" s="8" t="s">
        <v>399</v>
      </c>
      <c r="B37" s="8" t="s">
        <v>253</v>
      </c>
      <c r="C37" s="8" t="s">
        <v>351</v>
      </c>
      <c r="D37" s="8" t="s">
        <v>1395</v>
      </c>
      <c r="E37" s="8">
        <v>0.65291396172029426</v>
      </c>
    </row>
    <row r="38" spans="1:5" ht="24.75">
      <c r="A38" s="8" t="s">
        <v>399</v>
      </c>
      <c r="B38" s="8" t="s">
        <v>253</v>
      </c>
      <c r="C38" s="8" t="s">
        <v>351</v>
      </c>
      <c r="D38" s="8" t="s">
        <v>1396</v>
      </c>
      <c r="E38" s="8">
        <v>3.0834366199292749</v>
      </c>
    </row>
    <row r="39" spans="1:5" ht="24.75">
      <c r="A39" s="8" t="s">
        <v>399</v>
      </c>
      <c r="B39" s="8" t="s">
        <v>253</v>
      </c>
      <c r="C39" s="8" t="s">
        <v>351</v>
      </c>
      <c r="D39" s="8" t="s">
        <v>1397</v>
      </c>
      <c r="E39" s="8">
        <v>0.64378727885357168</v>
      </c>
    </row>
    <row r="40" spans="1:5" ht="24.75">
      <c r="A40" s="8" t="s">
        <v>399</v>
      </c>
      <c r="B40" s="8" t="s">
        <v>253</v>
      </c>
      <c r="C40" s="8" t="s">
        <v>351</v>
      </c>
      <c r="D40" s="8" t="s">
        <v>1398</v>
      </c>
      <c r="E40" s="8">
        <v>7.0473965359607219E-2</v>
      </c>
    </row>
    <row r="41" spans="1:5" ht="24.75">
      <c r="A41" s="8" t="s">
        <v>399</v>
      </c>
      <c r="B41" s="8" t="s">
        <v>253</v>
      </c>
      <c r="C41" s="8" t="s">
        <v>351</v>
      </c>
      <c r="D41" s="8" t="s">
        <v>1399</v>
      </c>
      <c r="E41" s="8">
        <v>0.49875517140134779</v>
      </c>
    </row>
    <row r="42" spans="1:5" ht="24.75">
      <c r="A42" s="8" t="s">
        <v>399</v>
      </c>
      <c r="B42" s="8" t="s">
        <v>253</v>
      </c>
      <c r="C42" s="8" t="s">
        <v>351</v>
      </c>
      <c r="D42" s="8" t="s">
        <v>1400</v>
      </c>
      <c r="E42" s="8">
        <v>0.65997963233393153</v>
      </c>
    </row>
    <row r="43" spans="1:5" ht="24.75">
      <c r="A43" s="8" t="s">
        <v>399</v>
      </c>
      <c r="B43" s="8" t="s">
        <v>253</v>
      </c>
      <c r="C43" s="8" t="s">
        <v>351</v>
      </c>
      <c r="D43" s="8" t="s">
        <v>1401</v>
      </c>
      <c r="E43" s="8">
        <v>3.1822261725006902</v>
      </c>
    </row>
    <row r="44" spans="1:5" ht="24.75">
      <c r="A44" s="8" t="s">
        <v>399</v>
      </c>
      <c r="B44" s="8" t="s">
        <v>253</v>
      </c>
      <c r="C44" s="8" t="s">
        <v>351</v>
      </c>
      <c r="D44" s="8" t="s">
        <v>1402</v>
      </c>
      <c r="E44" s="8">
        <v>0.60878691481880165</v>
      </c>
    </row>
    <row r="45" spans="1:5" ht="24.75">
      <c r="A45" s="8" t="s">
        <v>399</v>
      </c>
      <c r="B45" s="8" t="s">
        <v>253</v>
      </c>
      <c r="C45" s="8" t="s">
        <v>351</v>
      </c>
      <c r="D45" s="8" t="s">
        <v>1403</v>
      </c>
      <c r="E45" s="8">
        <v>8.5464977019861721E-2</v>
      </c>
    </row>
    <row r="46" spans="1:5" ht="24.75">
      <c r="A46" s="8" t="s">
        <v>399</v>
      </c>
      <c r="B46" s="8" t="s">
        <v>253</v>
      </c>
      <c r="C46" s="8" t="s">
        <v>351</v>
      </c>
      <c r="D46" s="8" t="s">
        <v>1404</v>
      </c>
      <c r="E46" s="8">
        <v>0.50622160784615566</v>
      </c>
    </row>
    <row r="47" spans="1:5" ht="24.75">
      <c r="A47" s="8" t="s">
        <v>399</v>
      </c>
      <c r="B47" s="8" t="s">
        <v>253</v>
      </c>
      <c r="C47" s="8" t="s">
        <v>351</v>
      </c>
      <c r="D47" s="8" t="s">
        <v>1405</v>
      </c>
      <c r="E47" s="8">
        <v>0.65982334834838963</v>
      </c>
    </row>
    <row r="48" spans="1:5" ht="24.75">
      <c r="A48" s="8" t="s">
        <v>399</v>
      </c>
      <c r="B48" s="8" t="s">
        <v>253</v>
      </c>
      <c r="C48" s="8" t="s">
        <v>351</v>
      </c>
      <c r="D48" s="8" t="s">
        <v>1406</v>
      </c>
      <c r="E48" s="8">
        <v>3.5019273326975076</v>
      </c>
    </row>
    <row r="49" spans="1:5" ht="24.75">
      <c r="A49" s="8" t="s">
        <v>399</v>
      </c>
      <c r="B49" s="8" t="s">
        <v>253</v>
      </c>
      <c r="C49" s="8" t="s">
        <v>351</v>
      </c>
      <c r="D49" s="8" t="s">
        <v>1407</v>
      </c>
      <c r="E49" s="8">
        <v>0.60878691517104566</v>
      </c>
    </row>
    <row r="50" spans="1:5" ht="24.75">
      <c r="A50" s="8" t="s">
        <v>399</v>
      </c>
      <c r="B50" s="8" t="s">
        <v>253</v>
      </c>
      <c r="C50" s="8" t="s">
        <v>351</v>
      </c>
      <c r="D50" s="8" t="s">
        <v>1408</v>
      </c>
      <c r="E50" s="8">
        <v>8.5559231466175001E-2</v>
      </c>
    </row>
    <row r="51" spans="1:5" ht="24.75">
      <c r="A51" s="8" t="s">
        <v>399</v>
      </c>
      <c r="B51" s="8" t="s">
        <v>253</v>
      </c>
      <c r="C51" s="8" t="s">
        <v>351</v>
      </c>
      <c r="D51" s="8" t="s">
        <v>1409</v>
      </c>
      <c r="E51" s="8">
        <v>0.50062591496102271</v>
      </c>
    </row>
    <row r="52" spans="1:5" ht="24.75">
      <c r="A52" s="8" t="s">
        <v>399</v>
      </c>
      <c r="B52" s="8" t="s">
        <v>253</v>
      </c>
      <c r="C52" s="8" t="s">
        <v>351</v>
      </c>
      <c r="D52" s="8" t="s">
        <v>1410</v>
      </c>
      <c r="E52" s="8">
        <v>0.56182509464356301</v>
      </c>
    </row>
    <row r="53" spans="1:5" ht="24.75">
      <c r="A53" s="8" t="s">
        <v>399</v>
      </c>
      <c r="B53" s="8" t="s">
        <v>253</v>
      </c>
      <c r="C53" s="8" t="s">
        <v>351</v>
      </c>
      <c r="D53" s="8" t="s">
        <v>1411</v>
      </c>
      <c r="E53" s="8">
        <v>3.1097471861438213</v>
      </c>
    </row>
    <row r="54" spans="1:5" ht="24.75">
      <c r="A54" s="8" t="s">
        <v>399</v>
      </c>
      <c r="B54" s="8" t="s">
        <v>253</v>
      </c>
      <c r="C54" s="8" t="s">
        <v>351</v>
      </c>
      <c r="D54" s="8" t="s">
        <v>1412</v>
      </c>
      <c r="E54" s="8">
        <v>0.57180102913598363</v>
      </c>
    </row>
    <row r="55" spans="1:5" ht="24.75">
      <c r="A55" s="8" t="s">
        <v>399</v>
      </c>
      <c r="B55" s="8" t="s">
        <v>253</v>
      </c>
      <c r="C55" s="8" t="s">
        <v>351</v>
      </c>
      <c r="D55" s="8" t="s">
        <v>1413</v>
      </c>
      <c r="E55" s="8">
        <v>1.4717872823784509E-2</v>
      </c>
    </row>
    <row r="56" spans="1:5" ht="24.75">
      <c r="A56" s="8" t="s">
        <v>399</v>
      </c>
      <c r="B56" s="8" t="s">
        <v>253</v>
      </c>
      <c r="C56" s="8" t="s">
        <v>351</v>
      </c>
      <c r="D56" s="8" t="s">
        <v>1414</v>
      </c>
      <c r="E56" s="8">
        <v>0.50955076160253676</v>
      </c>
    </row>
    <row r="57" spans="1:5" ht="24.75">
      <c r="A57" s="8" t="s">
        <v>399</v>
      </c>
      <c r="B57" s="8" t="s">
        <v>253</v>
      </c>
      <c r="C57" s="8" t="s">
        <v>351</v>
      </c>
      <c r="D57" s="8" t="s">
        <v>1415</v>
      </c>
      <c r="E57" s="8">
        <v>0.6542113016599479</v>
      </c>
    </row>
    <row r="58" spans="1:5" ht="24.75">
      <c r="A58" s="8" t="s">
        <v>399</v>
      </c>
      <c r="B58" s="8" t="s">
        <v>253</v>
      </c>
      <c r="C58" s="8" t="s">
        <v>351</v>
      </c>
      <c r="D58" s="8" t="s">
        <v>1416</v>
      </c>
      <c r="E58" s="8">
        <v>3.5463001367422722</v>
      </c>
    </row>
    <row r="59" spans="1:5" ht="24.75">
      <c r="A59" s="8" t="s">
        <v>399</v>
      </c>
      <c r="B59" s="8" t="s">
        <v>253</v>
      </c>
      <c r="C59" s="8" t="s">
        <v>351</v>
      </c>
      <c r="D59" s="8" t="s">
        <v>1417</v>
      </c>
      <c r="E59" s="8">
        <v>0.50260339203913706</v>
      </c>
    </row>
    <row r="60" spans="1:5" ht="24.75">
      <c r="A60" s="8" t="s">
        <v>399</v>
      </c>
      <c r="B60" s="8" t="s">
        <v>253</v>
      </c>
      <c r="C60" s="8" t="s">
        <v>351</v>
      </c>
      <c r="D60" s="8" t="s">
        <v>1418</v>
      </c>
      <c r="E60" s="8">
        <v>0.65979629804595707</v>
      </c>
    </row>
    <row r="61" spans="1:5" ht="24.75">
      <c r="A61" s="8" t="s">
        <v>399</v>
      </c>
      <c r="B61" s="8" t="s">
        <v>253</v>
      </c>
      <c r="C61" s="8" t="s">
        <v>351</v>
      </c>
      <c r="D61" s="8" t="s">
        <v>1419</v>
      </c>
      <c r="E61" s="8">
        <v>3.2969456550781757</v>
      </c>
    </row>
    <row r="62" spans="1:5" ht="24.75">
      <c r="A62" s="8" t="s">
        <v>399</v>
      </c>
      <c r="B62" s="8" t="s">
        <v>253</v>
      </c>
      <c r="C62" s="8" t="s">
        <v>351</v>
      </c>
      <c r="D62" s="8" t="s">
        <v>1420</v>
      </c>
      <c r="E62" s="8">
        <v>0.62377603400621195</v>
      </c>
    </row>
    <row r="63" spans="1:5" ht="24.75">
      <c r="A63" s="8" t="s">
        <v>399</v>
      </c>
      <c r="B63" s="8" t="s">
        <v>253</v>
      </c>
      <c r="C63" s="8" t="s">
        <v>351</v>
      </c>
      <c r="D63" s="8" t="s">
        <v>1421</v>
      </c>
      <c r="E63" s="8">
        <v>0.11556806971162932</v>
      </c>
    </row>
    <row r="64" spans="1:5" ht="24.75">
      <c r="A64" s="8" t="s">
        <v>399</v>
      </c>
      <c r="B64" s="8" t="s">
        <v>253</v>
      </c>
      <c r="C64" s="8" t="s">
        <v>351</v>
      </c>
      <c r="D64" s="8" t="s">
        <v>1422</v>
      </c>
      <c r="E64" s="8">
        <v>0.57182964880349685</v>
      </c>
    </row>
    <row r="65" spans="1:5" ht="24.75">
      <c r="A65" s="8" t="s">
        <v>399</v>
      </c>
      <c r="B65" s="8" t="s">
        <v>253</v>
      </c>
      <c r="C65" s="8" t="s">
        <v>351</v>
      </c>
      <c r="D65" s="8" t="s">
        <v>1423</v>
      </c>
      <c r="E65" s="8">
        <v>0.22048826061926466</v>
      </c>
    </row>
    <row r="66" spans="1:5" ht="24.75">
      <c r="A66" s="8" t="s">
        <v>399</v>
      </c>
      <c r="B66" s="8" t="s">
        <v>253</v>
      </c>
      <c r="C66" s="8" t="s">
        <v>351</v>
      </c>
      <c r="D66" s="8" t="s">
        <v>1424</v>
      </c>
      <c r="E66" s="8">
        <v>0.49107320587770026</v>
      </c>
    </row>
    <row r="67" spans="1:5" ht="24.75">
      <c r="A67" s="8" t="s">
        <v>399</v>
      </c>
      <c r="B67" s="8" t="s">
        <v>253</v>
      </c>
      <c r="C67" s="8" t="s">
        <v>351</v>
      </c>
      <c r="D67" s="8" t="s">
        <v>1425</v>
      </c>
      <c r="E67" s="8">
        <v>9.5293801349865453E-2</v>
      </c>
    </row>
    <row r="68" spans="1:5" ht="24.75">
      <c r="A68" s="8" t="s">
        <v>399</v>
      </c>
      <c r="B68" s="8" t="s">
        <v>253</v>
      </c>
      <c r="C68" s="8" t="s">
        <v>351</v>
      </c>
      <c r="D68" s="8" t="s">
        <v>1426</v>
      </c>
      <c r="E68" s="8">
        <v>0.22111577888041553</v>
      </c>
    </row>
    <row r="69" spans="1:5" ht="24.75">
      <c r="A69" s="8" t="s">
        <v>399</v>
      </c>
      <c r="B69" s="8" t="s">
        <v>253</v>
      </c>
      <c r="C69" s="8" t="s">
        <v>351</v>
      </c>
      <c r="D69" s="8" t="s">
        <v>1427</v>
      </c>
      <c r="E69" s="8">
        <v>8.3724193094363956E-3</v>
      </c>
    </row>
    <row r="70" spans="1:5" ht="24.75">
      <c r="A70" s="8" t="s">
        <v>399</v>
      </c>
      <c r="B70" s="8" t="s">
        <v>253</v>
      </c>
      <c r="C70" s="8" t="s">
        <v>351</v>
      </c>
      <c r="D70" s="8" t="s">
        <v>1428</v>
      </c>
      <c r="E70" s="8">
        <v>0.32005213850272662</v>
      </c>
    </row>
    <row r="71" spans="1:5" ht="24.75">
      <c r="A71" s="8" t="s">
        <v>399</v>
      </c>
      <c r="B71" s="8" t="s">
        <v>253</v>
      </c>
      <c r="C71" s="8" t="s">
        <v>351</v>
      </c>
      <c r="D71" s="8" t="s">
        <v>1429</v>
      </c>
      <c r="E71" s="8">
        <v>0.50365818011029095</v>
      </c>
    </row>
    <row r="72" spans="1:5" ht="24.75">
      <c r="A72" s="8" t="s">
        <v>399</v>
      </c>
      <c r="B72" s="8" t="s">
        <v>253</v>
      </c>
      <c r="C72" s="8" t="s">
        <v>351</v>
      </c>
      <c r="D72" s="8" t="s">
        <v>1430</v>
      </c>
      <c r="E72" s="8">
        <v>0.19639736704544289</v>
      </c>
    </row>
    <row r="73" spans="1:5" ht="24.75">
      <c r="A73" s="8" t="s">
        <v>399</v>
      </c>
      <c r="B73" s="8" t="s">
        <v>253</v>
      </c>
      <c r="C73" s="8" t="s">
        <v>351</v>
      </c>
      <c r="D73" s="8" t="s">
        <v>1431</v>
      </c>
      <c r="E73" s="8">
        <v>0.25788673203152296</v>
      </c>
    </row>
    <row r="74" spans="1:5" ht="24.75">
      <c r="A74" s="8" t="s">
        <v>399</v>
      </c>
      <c r="B74" s="8" t="s">
        <v>253</v>
      </c>
      <c r="C74" s="8" t="s">
        <v>351</v>
      </c>
      <c r="D74" s="8" t="s">
        <v>1432</v>
      </c>
      <c r="E74" s="8">
        <v>0.5210621401635247</v>
      </c>
    </row>
    <row r="75" spans="1:5" ht="24.75">
      <c r="A75" s="8" t="s">
        <v>399</v>
      </c>
      <c r="B75" s="8" t="s">
        <v>253</v>
      </c>
      <c r="C75" s="8" t="s">
        <v>351</v>
      </c>
      <c r="D75" s="8" t="s">
        <v>1433</v>
      </c>
      <c r="E75" s="8">
        <v>0.19121371782801785</v>
      </c>
    </row>
    <row r="76" spans="1:5" ht="24.75">
      <c r="A76" s="8" t="s">
        <v>399</v>
      </c>
      <c r="B76" s="8" t="s">
        <v>253</v>
      </c>
      <c r="C76" s="8" t="s">
        <v>351</v>
      </c>
      <c r="D76" s="8" t="s">
        <v>1434</v>
      </c>
      <c r="E76" s="8">
        <v>0.15999999999999828</v>
      </c>
    </row>
    <row r="77" spans="1:5" ht="24.75">
      <c r="A77" s="8" t="s">
        <v>399</v>
      </c>
      <c r="B77" s="8" t="s">
        <v>253</v>
      </c>
      <c r="C77" s="8" t="s">
        <v>351</v>
      </c>
      <c r="D77" s="8" t="s">
        <v>1435</v>
      </c>
      <c r="E77" s="8">
        <v>0.56430189712707912</v>
      </c>
    </row>
    <row r="78" spans="1:5" ht="24.75">
      <c r="A78" s="8" t="s">
        <v>399</v>
      </c>
      <c r="B78" s="8" t="s">
        <v>253</v>
      </c>
      <c r="C78" s="8" t="s">
        <v>351</v>
      </c>
      <c r="D78" s="8" t="s">
        <v>1436</v>
      </c>
      <c r="E78" s="8">
        <v>0.10160954547355364</v>
      </c>
    </row>
    <row r="79" spans="1:5" ht="24.75">
      <c r="A79" s="8" t="s">
        <v>399</v>
      </c>
      <c r="B79" s="8" t="s">
        <v>253</v>
      </c>
      <c r="C79" s="8" t="s">
        <v>351</v>
      </c>
      <c r="D79" s="8" t="s">
        <v>1437</v>
      </c>
      <c r="E79" s="8">
        <v>0.49365805951022279</v>
      </c>
    </row>
    <row r="80" spans="1:5" ht="24.75">
      <c r="A80" s="8" t="s">
        <v>399</v>
      </c>
      <c r="B80" s="8" t="s">
        <v>253</v>
      </c>
      <c r="C80" s="8" t="s">
        <v>351</v>
      </c>
      <c r="D80" s="8" t="s">
        <v>1438</v>
      </c>
      <c r="E80" s="8">
        <v>3.4491147715316347E-3</v>
      </c>
    </row>
    <row r="81" spans="1:5" ht="24.75">
      <c r="A81" s="8" t="s">
        <v>399</v>
      </c>
      <c r="B81" s="8" t="s">
        <v>253</v>
      </c>
      <c r="C81" s="8" t="s">
        <v>351</v>
      </c>
      <c r="D81" s="8" t="s">
        <v>1439</v>
      </c>
      <c r="E81" s="8">
        <v>0.6312516018784089</v>
      </c>
    </row>
    <row r="82" spans="1:5" ht="24.75">
      <c r="A82" s="8" t="s">
        <v>399</v>
      </c>
      <c r="B82" s="8" t="s">
        <v>253</v>
      </c>
      <c r="C82" s="8" t="s">
        <v>351</v>
      </c>
      <c r="D82" s="8" t="s">
        <v>1440</v>
      </c>
      <c r="E82" s="8">
        <v>0.50005824267338306</v>
      </c>
    </row>
    <row r="83" spans="1:5" ht="24.75">
      <c r="A83" s="8" t="s">
        <v>399</v>
      </c>
      <c r="B83" s="8" t="s">
        <v>253</v>
      </c>
      <c r="C83" s="8" t="s">
        <v>351</v>
      </c>
      <c r="D83" s="8" t="s">
        <v>1441</v>
      </c>
      <c r="E83" s="8">
        <v>0.65291296776970464</v>
      </c>
    </row>
    <row r="84" spans="1:5" ht="24.75">
      <c r="A84" s="8" t="s">
        <v>399</v>
      </c>
      <c r="B84" s="8" t="s">
        <v>253</v>
      </c>
      <c r="C84" s="8" t="s">
        <v>351</v>
      </c>
      <c r="D84" s="8" t="s">
        <v>1442</v>
      </c>
      <c r="E84" s="8">
        <v>3.0599999999999996</v>
      </c>
    </row>
    <row r="85" spans="1:5" ht="24.75">
      <c r="A85" s="8" t="s">
        <v>399</v>
      </c>
      <c r="B85" s="8" t="s">
        <v>253</v>
      </c>
      <c r="C85" s="8" t="s">
        <v>351</v>
      </c>
      <c r="D85" s="8" t="s">
        <v>1443</v>
      </c>
      <c r="E85" s="8">
        <v>0.6437957240839125</v>
      </c>
    </row>
    <row r="86" spans="1:5" ht="24.75">
      <c r="A86" s="8" t="s">
        <v>399</v>
      </c>
      <c r="B86" s="8" t="s">
        <v>253</v>
      </c>
      <c r="C86" s="8" t="s">
        <v>351</v>
      </c>
      <c r="D86" s="8" t="s">
        <v>1444</v>
      </c>
      <c r="E86" s="8">
        <v>9.6879831836255925E-2</v>
      </c>
    </row>
    <row r="87" spans="1:5" ht="24.75">
      <c r="A87" s="8" t="s">
        <v>399</v>
      </c>
      <c r="B87" s="8" t="s">
        <v>253</v>
      </c>
      <c r="C87" s="8" t="s">
        <v>351</v>
      </c>
      <c r="D87" s="8" t="s">
        <v>1445</v>
      </c>
      <c r="E87" s="8">
        <v>0.49609867788470308</v>
      </c>
    </row>
    <row r="88" spans="1:5" ht="24.75">
      <c r="A88" s="8" t="s">
        <v>399</v>
      </c>
      <c r="B88" s="8" t="s">
        <v>253</v>
      </c>
      <c r="C88" s="8" t="s">
        <v>351</v>
      </c>
      <c r="D88" s="8" t="s">
        <v>1446</v>
      </c>
      <c r="E88" s="8">
        <v>0.65290649447231242</v>
      </c>
    </row>
    <row r="89" spans="1:5" ht="24.75">
      <c r="A89" s="8" t="s">
        <v>399</v>
      </c>
      <c r="B89" s="8" t="s">
        <v>253</v>
      </c>
      <c r="C89" s="8" t="s">
        <v>351</v>
      </c>
      <c r="D89" s="8" t="s">
        <v>1447</v>
      </c>
      <c r="E89" s="8">
        <v>3.0834366199292749</v>
      </c>
    </row>
    <row r="90" spans="1:5" ht="24.75">
      <c r="A90" s="8" t="s">
        <v>399</v>
      </c>
      <c r="B90" s="8" t="s">
        <v>253</v>
      </c>
      <c r="C90" s="8" t="s">
        <v>351</v>
      </c>
      <c r="D90" s="8" t="s">
        <v>1448</v>
      </c>
      <c r="E90" s="8">
        <v>0.64378727885357168</v>
      </c>
    </row>
    <row r="91" spans="1:5" ht="24.75">
      <c r="A91" s="8" t="s">
        <v>399</v>
      </c>
      <c r="B91" s="8" t="s">
        <v>253</v>
      </c>
      <c r="C91" s="8" t="s">
        <v>351</v>
      </c>
      <c r="D91" s="8" t="s">
        <v>1449</v>
      </c>
      <c r="E91" s="8">
        <v>7.0473965359607219E-2</v>
      </c>
    </row>
    <row r="92" spans="1:5" ht="24.75">
      <c r="A92" s="8" t="s">
        <v>399</v>
      </c>
      <c r="B92" s="8" t="s">
        <v>253</v>
      </c>
      <c r="C92" s="8" t="s">
        <v>351</v>
      </c>
      <c r="D92" s="8" t="s">
        <v>1450</v>
      </c>
      <c r="E92" s="8">
        <v>0.19639736704544289</v>
      </c>
    </row>
    <row r="93" spans="1:5" ht="24.75">
      <c r="A93" s="8" t="s">
        <v>399</v>
      </c>
      <c r="B93" s="8" t="s">
        <v>253</v>
      </c>
      <c r="C93" s="8" t="s">
        <v>351</v>
      </c>
      <c r="D93" s="8" t="s">
        <v>1451</v>
      </c>
      <c r="E93" s="8">
        <v>0.44108723725076154</v>
      </c>
    </row>
    <row r="94" spans="1:5" ht="24.75">
      <c r="A94" s="8" t="s">
        <v>399</v>
      </c>
      <c r="B94" s="8" t="s">
        <v>253</v>
      </c>
      <c r="C94" s="8" t="s">
        <v>351</v>
      </c>
      <c r="D94" s="8" t="s">
        <v>1452</v>
      </c>
      <c r="E94" s="8">
        <v>0.14027934210345847</v>
      </c>
    </row>
    <row r="95" spans="1:5" ht="24.75">
      <c r="A95" s="8" t="s">
        <v>399</v>
      </c>
      <c r="B95" s="8" t="s">
        <v>253</v>
      </c>
      <c r="C95" s="8" t="s">
        <v>351</v>
      </c>
      <c r="D95" s="8" t="s">
        <v>1453</v>
      </c>
      <c r="E95" s="8">
        <v>0.73789062563421626</v>
      </c>
    </row>
    <row r="96" spans="1:5" ht="24.75">
      <c r="A96" s="8" t="s">
        <v>399</v>
      </c>
      <c r="B96" s="8" t="s">
        <v>253</v>
      </c>
      <c r="C96" s="8" t="s">
        <v>351</v>
      </c>
      <c r="D96" s="8" t="s">
        <v>1454</v>
      </c>
      <c r="E96" s="8">
        <v>9.9949911298933006E-2</v>
      </c>
    </row>
    <row r="97" spans="1:5" ht="24.75">
      <c r="A97" s="8" t="s">
        <v>399</v>
      </c>
      <c r="B97" s="8" t="s">
        <v>253</v>
      </c>
      <c r="C97" s="8" t="s">
        <v>351</v>
      </c>
      <c r="D97" s="8" t="s">
        <v>1455</v>
      </c>
      <c r="E97" s="8">
        <v>0.25686809287212742</v>
      </c>
    </row>
    <row r="98" spans="1:5" ht="24.75">
      <c r="A98" s="8" t="s">
        <v>399</v>
      </c>
      <c r="B98" s="8" t="s">
        <v>253</v>
      </c>
      <c r="C98" s="8" t="s">
        <v>351</v>
      </c>
      <c r="D98" s="8" t="s">
        <v>1456</v>
      </c>
      <c r="E98" s="8">
        <v>4.723197732012261E-2</v>
      </c>
    </row>
    <row r="99" spans="1:5" ht="24.75">
      <c r="A99" s="8" t="s">
        <v>399</v>
      </c>
      <c r="B99" s="8" t="s">
        <v>253</v>
      </c>
      <c r="C99" s="8" t="s">
        <v>351</v>
      </c>
      <c r="D99" s="8" t="s">
        <v>1457</v>
      </c>
      <c r="E99" s="8">
        <v>0.30273952679178173</v>
      </c>
    </row>
    <row r="100" spans="1:5" ht="24.75">
      <c r="A100" s="8" t="s">
        <v>399</v>
      </c>
      <c r="B100" s="8" t="s">
        <v>253</v>
      </c>
      <c r="C100" s="8" t="s">
        <v>351</v>
      </c>
      <c r="D100" s="8" t="s">
        <v>1458</v>
      </c>
      <c r="E100" s="8">
        <v>0.28424349557983575</v>
      </c>
    </row>
    <row r="101" spans="1:5" ht="24.75">
      <c r="A101" s="8" t="s">
        <v>399</v>
      </c>
      <c r="B101" s="8" t="s">
        <v>253</v>
      </c>
      <c r="C101" s="8" t="s">
        <v>351</v>
      </c>
      <c r="D101" s="8" t="s">
        <v>1459</v>
      </c>
      <c r="E101" s="8">
        <v>9.2846173099464385E-3</v>
      </c>
    </row>
    <row r="102" spans="1:5" ht="24.75">
      <c r="A102" s="8" t="s">
        <v>399</v>
      </c>
      <c r="B102" s="8" t="s">
        <v>253</v>
      </c>
      <c r="C102" s="8" t="s">
        <v>351</v>
      </c>
      <c r="D102" s="8" t="s">
        <v>1460</v>
      </c>
      <c r="E102" s="8">
        <v>0.22793612841249314</v>
      </c>
    </row>
    <row r="103" spans="1:5" ht="24.75">
      <c r="A103" s="8" t="s">
        <v>399</v>
      </c>
      <c r="B103" s="8" t="s">
        <v>253</v>
      </c>
      <c r="C103" s="8" t="s">
        <v>351</v>
      </c>
      <c r="D103" s="8" t="s">
        <v>1461</v>
      </c>
      <c r="E103" s="8">
        <v>0.17000000000000035</v>
      </c>
    </row>
    <row r="104" spans="1:5">
      <c r="A104" s="1" t="s">
        <v>246</v>
      </c>
      <c r="B104" s="1" t="s">
        <v>246</v>
      </c>
      <c r="C104" s="1">
        <f>SUBTOTAL(103,Elements13_3_371[Elemento])</f>
        <v>97</v>
      </c>
      <c r="D104" s="1" t="s">
        <v>246</v>
      </c>
      <c r="E104" s="1">
        <f>SUBTOTAL(109,Elements13_3_371[Totais:])</f>
        <v>78.883321104088893</v>
      </c>
    </row>
  </sheetData>
  <mergeCells count="3">
    <mergeCell ref="A1:E2"/>
    <mergeCell ref="A4:E4"/>
    <mergeCell ref="A5:E5"/>
  </mergeCells>
  <hyperlinks>
    <hyperlink ref="A1" location="'13.3.37'!A1" display="TUBO PVC, SERIE NORMAL, ESGOTO PREDIAL, DN 100 MM, FORNECIDO E INSTALADO EM PRUMADA DE ESGOTO SANITÁRIO OU VENTILAÇÃO. AF_08/2022" xr:uid="{00000000-0004-0000-6500-000000000000}"/>
    <hyperlink ref="B1" location="'13.3.37'!A1" display="TUBO PVC, SERIE NORMAL, ESGOTO PREDIAL, DN 100 MM, FORNECIDO E INSTALADO EM PRUMADA DE ESGOTO SANITÁRIO OU VENTILAÇÃO. AF_08/2022" xr:uid="{00000000-0004-0000-6500-000001000000}"/>
    <hyperlink ref="C1" location="'13.3.37'!A1" display="TUBO PVC, SERIE NORMAL, ESGOTO PREDIAL, DN 100 MM, FORNECIDO E INSTALADO EM PRUMADA DE ESGOTO SANITÁRIO OU VENTILAÇÃO. AF_08/2022" xr:uid="{00000000-0004-0000-6500-000002000000}"/>
    <hyperlink ref="D1" location="'13.3.37'!A1" display="TUBO PVC, SERIE NORMAL, ESGOTO PREDIAL, DN 100 MM, FORNECIDO E INSTALADO EM PRUMADA DE ESGOTO SANITÁRIO OU VENTILAÇÃO. AF_08/2022" xr:uid="{00000000-0004-0000-6500-000003000000}"/>
    <hyperlink ref="E1" location="'13.3.37'!A1" display="TUBO PVC, SERIE NORMAL, ESGOTO PREDIAL, DN 100 MM, FORNECIDO E INSTALADO EM PRUMADA DE ESGOTO SANITÁRIO OU VENTILAÇÃO. AF_08/2022" xr:uid="{00000000-0004-0000-6500-000004000000}"/>
    <hyperlink ref="A2" location="'13.3.37'!A1" display="TUBO PVC, SERIE NORMAL, ESGOTO PREDIAL, DN 100 MM, FORNECIDO E INSTALADO EM PRUMADA DE ESGOTO SANITÁRIO OU VENTILAÇÃO. AF_08/2022" xr:uid="{00000000-0004-0000-6500-000005000000}"/>
    <hyperlink ref="B2" location="'13.3.37'!A1" display="TUBO PVC, SERIE NORMAL, ESGOTO PREDIAL, DN 100 MM, FORNECIDO E INSTALADO EM PRUMADA DE ESGOTO SANITÁRIO OU VENTILAÇÃO. AF_08/2022" xr:uid="{00000000-0004-0000-6500-000006000000}"/>
    <hyperlink ref="C2" location="'13.3.37'!A1" display="TUBO PVC, SERIE NORMAL, ESGOTO PREDIAL, DN 100 MM, FORNECIDO E INSTALADO EM PRUMADA DE ESGOTO SANITÁRIO OU VENTILAÇÃO. AF_08/2022" xr:uid="{00000000-0004-0000-6500-000007000000}"/>
    <hyperlink ref="D2" location="'13.3.37'!A1" display="TUBO PVC, SERIE NORMAL, ESGOTO PREDIAL, DN 100 MM, FORNECIDO E INSTALADO EM PRUMADA DE ESGOTO SANITÁRIO OU VENTILAÇÃO. AF_08/2022" xr:uid="{00000000-0004-0000-6500-000008000000}"/>
    <hyperlink ref="E2" location="'13.3.37'!A1" display="TUBO PVC, SERIE NORMAL, ESGOTO PREDIAL, DN 100 MM, FORNECIDO E INSTALADO EM PRUMADA DE ESGOTO SANITÁRIO OU VENTILAÇÃO. AF_08/2022" xr:uid="{00000000-0004-0000-6500-000009000000}"/>
    <hyperlink ref="A4" location="'13.3.37'!A1" display="Tubulação (Comprimento)" xr:uid="{00000000-0004-0000-6500-00000A000000}"/>
    <hyperlink ref="B4" location="'13.3.37'!A1" display="Tubulação (Comprimento)" xr:uid="{00000000-0004-0000-6500-00000B000000}"/>
    <hyperlink ref="C4" location="'13.3.37'!A1" display="Tubulação (Comprimento)" xr:uid="{00000000-0004-0000-6500-00000C000000}"/>
    <hyperlink ref="D4" location="'13.3.37'!A1" display="Tubulação (Comprimento)" xr:uid="{00000000-0004-0000-6500-00000D000000}"/>
    <hyperlink ref="E4" location="'13.3.37'!A1" display="Tubulação (Comprimento)" xr:uid="{00000000-0004-0000-6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6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158</v>
      </c>
      <c r="B1" s="20" t="s">
        <v>158</v>
      </c>
      <c r="C1" s="20" t="s">
        <v>158</v>
      </c>
      <c r="D1" s="20" t="s">
        <v>158</v>
      </c>
      <c r="E1" s="20" t="s">
        <v>158</v>
      </c>
    </row>
    <row r="2" spans="1:5">
      <c r="A2" s="20" t="s">
        <v>158</v>
      </c>
      <c r="B2" s="20" t="s">
        <v>158</v>
      </c>
      <c r="C2" s="20" t="s">
        <v>158</v>
      </c>
      <c r="D2" s="20" t="s">
        <v>158</v>
      </c>
      <c r="E2" s="20" t="s">
        <v>158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351</v>
      </c>
      <c r="D7" s="8" t="s">
        <v>1462</v>
      </c>
      <c r="E7" s="8">
        <v>1.5400330950822934</v>
      </c>
    </row>
    <row r="8" spans="1:5" ht="24.75">
      <c r="A8" s="8" t="s">
        <v>399</v>
      </c>
      <c r="B8" s="8" t="s">
        <v>253</v>
      </c>
      <c r="C8" s="8" t="s">
        <v>351</v>
      </c>
      <c r="D8" s="8" t="s">
        <v>1463</v>
      </c>
      <c r="E8" s="8">
        <v>3.5527680491356235</v>
      </c>
    </row>
    <row r="9" spans="1:5">
      <c r="A9" s="1" t="s">
        <v>246</v>
      </c>
      <c r="B9" s="1" t="s">
        <v>246</v>
      </c>
      <c r="C9" s="1">
        <f>SUBTOTAL(103,Elements13_3_381[Elemento])</f>
        <v>2</v>
      </c>
      <c r="D9" s="1" t="s">
        <v>246</v>
      </c>
      <c r="E9" s="1">
        <f>SUBTOTAL(109,Elements13_3_381[Totais:])</f>
        <v>5.0928011442179173</v>
      </c>
    </row>
  </sheetData>
  <mergeCells count="3">
    <mergeCell ref="A1:E2"/>
    <mergeCell ref="A4:E4"/>
    <mergeCell ref="A5:E5"/>
  </mergeCells>
  <hyperlinks>
    <hyperlink ref="A1" location="'13.3.38'!A1" display="TUBO PVC, SERIE NORMAL, ESGOTO PREDIAL, DN 150 MM, FORNECIDO E INSTALADO EM SUBCOLETOR AÉREO DE ESGOTO SANITÁRIO. AF_08/2022" xr:uid="{00000000-0004-0000-6600-000000000000}"/>
    <hyperlink ref="B1" location="'13.3.38'!A1" display="TUBO PVC, SERIE NORMAL, ESGOTO PREDIAL, DN 150 MM, FORNECIDO E INSTALADO EM SUBCOLETOR AÉREO DE ESGOTO SANITÁRIO. AF_08/2022" xr:uid="{00000000-0004-0000-6600-000001000000}"/>
    <hyperlink ref="C1" location="'13.3.38'!A1" display="TUBO PVC, SERIE NORMAL, ESGOTO PREDIAL, DN 150 MM, FORNECIDO E INSTALADO EM SUBCOLETOR AÉREO DE ESGOTO SANITÁRIO. AF_08/2022" xr:uid="{00000000-0004-0000-6600-000002000000}"/>
    <hyperlink ref="D1" location="'13.3.38'!A1" display="TUBO PVC, SERIE NORMAL, ESGOTO PREDIAL, DN 150 MM, FORNECIDO E INSTALADO EM SUBCOLETOR AÉREO DE ESGOTO SANITÁRIO. AF_08/2022" xr:uid="{00000000-0004-0000-6600-000003000000}"/>
    <hyperlink ref="E1" location="'13.3.38'!A1" display="TUBO PVC, SERIE NORMAL, ESGOTO PREDIAL, DN 150 MM, FORNECIDO E INSTALADO EM SUBCOLETOR AÉREO DE ESGOTO SANITÁRIO. AF_08/2022" xr:uid="{00000000-0004-0000-6600-000004000000}"/>
    <hyperlink ref="A2" location="'13.3.38'!A1" display="TUBO PVC, SERIE NORMAL, ESGOTO PREDIAL, DN 150 MM, FORNECIDO E INSTALADO EM SUBCOLETOR AÉREO DE ESGOTO SANITÁRIO. AF_08/2022" xr:uid="{00000000-0004-0000-6600-000005000000}"/>
    <hyperlink ref="B2" location="'13.3.38'!A1" display="TUBO PVC, SERIE NORMAL, ESGOTO PREDIAL, DN 150 MM, FORNECIDO E INSTALADO EM SUBCOLETOR AÉREO DE ESGOTO SANITÁRIO. AF_08/2022" xr:uid="{00000000-0004-0000-6600-000006000000}"/>
    <hyperlink ref="C2" location="'13.3.38'!A1" display="TUBO PVC, SERIE NORMAL, ESGOTO PREDIAL, DN 150 MM, FORNECIDO E INSTALADO EM SUBCOLETOR AÉREO DE ESGOTO SANITÁRIO. AF_08/2022" xr:uid="{00000000-0004-0000-6600-000007000000}"/>
    <hyperlink ref="D2" location="'13.3.38'!A1" display="TUBO PVC, SERIE NORMAL, ESGOTO PREDIAL, DN 150 MM, FORNECIDO E INSTALADO EM SUBCOLETOR AÉREO DE ESGOTO SANITÁRIO. AF_08/2022" xr:uid="{00000000-0004-0000-6600-000008000000}"/>
    <hyperlink ref="E2" location="'13.3.38'!A1" display="TUBO PVC, SERIE NORMAL, ESGOTO PREDIAL, DN 150 MM, FORNECIDO E INSTALADO EM SUBCOLETOR AÉREO DE ESGOTO SANITÁRIO. AF_08/2022" xr:uid="{00000000-0004-0000-6600-000009000000}"/>
    <hyperlink ref="A4" location="'13.3.38'!A1" display="Tubulação (Comprimento)" xr:uid="{00000000-0004-0000-6600-00000A000000}"/>
    <hyperlink ref="B4" location="'13.3.38'!A1" display="Tubulação (Comprimento)" xr:uid="{00000000-0004-0000-6600-00000B000000}"/>
    <hyperlink ref="C4" location="'13.3.38'!A1" display="Tubulação (Comprimento)" xr:uid="{00000000-0004-0000-6600-00000C000000}"/>
    <hyperlink ref="D4" location="'13.3.38'!A1" display="Tubulação (Comprimento)" xr:uid="{00000000-0004-0000-6600-00000D000000}"/>
    <hyperlink ref="E4" location="'13.3.38'!A1" display="Tubulação (Comprimento)" xr:uid="{00000000-0004-0000-6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7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162</v>
      </c>
      <c r="B1" s="20" t="s">
        <v>162</v>
      </c>
      <c r="C1" s="20" t="s">
        <v>162</v>
      </c>
      <c r="D1" s="20" t="s">
        <v>162</v>
      </c>
      <c r="E1" s="20" t="s">
        <v>162</v>
      </c>
    </row>
    <row r="2" spans="1:5">
      <c r="A2" s="20" t="s">
        <v>162</v>
      </c>
      <c r="B2" s="20" t="s">
        <v>162</v>
      </c>
      <c r="C2" s="20" t="s">
        <v>162</v>
      </c>
      <c r="D2" s="20" t="s">
        <v>162</v>
      </c>
      <c r="E2" s="20" t="s">
        <v>162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363</v>
      </c>
      <c r="D7" s="8" t="s">
        <v>1464</v>
      </c>
      <c r="E7" s="8">
        <v>2.5200497136815629</v>
      </c>
    </row>
    <row r="8" spans="1:5" ht="24.75">
      <c r="A8" s="8" t="s">
        <v>399</v>
      </c>
      <c r="B8" s="8" t="s">
        <v>253</v>
      </c>
      <c r="C8" s="8" t="s">
        <v>363</v>
      </c>
      <c r="D8" s="8" t="s">
        <v>1465</v>
      </c>
      <c r="E8" s="8">
        <v>2.7682961743559926</v>
      </c>
    </row>
    <row r="9" spans="1:5" ht="24.75">
      <c r="A9" s="8" t="s">
        <v>399</v>
      </c>
      <c r="B9" s="8" t="s">
        <v>253</v>
      </c>
      <c r="C9" s="8" t="s">
        <v>363</v>
      </c>
      <c r="D9" s="8" t="s">
        <v>1466</v>
      </c>
      <c r="E9" s="8">
        <v>1.0170554294105869</v>
      </c>
    </row>
    <row r="10" spans="1:5" ht="24.75">
      <c r="A10" s="8" t="s">
        <v>399</v>
      </c>
      <c r="B10" s="8" t="s">
        <v>253</v>
      </c>
      <c r="C10" s="8" t="s">
        <v>363</v>
      </c>
      <c r="D10" s="8" t="s">
        <v>1467</v>
      </c>
      <c r="E10" s="8">
        <v>1.0541890250060926</v>
      </c>
    </row>
    <row r="11" spans="1:5" ht="24.75">
      <c r="A11" s="8" t="s">
        <v>399</v>
      </c>
      <c r="B11" s="8" t="s">
        <v>253</v>
      </c>
      <c r="C11" s="8" t="s">
        <v>363</v>
      </c>
      <c r="D11" s="8" t="s">
        <v>1468</v>
      </c>
      <c r="E11" s="8">
        <v>4.7609637858578617</v>
      </c>
    </row>
    <row r="12" spans="1:5" ht="24.75">
      <c r="A12" s="8" t="s">
        <v>399</v>
      </c>
      <c r="B12" s="8" t="s">
        <v>253</v>
      </c>
      <c r="C12" s="8" t="s">
        <v>363</v>
      </c>
      <c r="D12" s="8" t="s">
        <v>1469</v>
      </c>
      <c r="E12" s="8">
        <v>6.8917421793813016</v>
      </c>
    </row>
    <row r="13" spans="1:5" ht="24.75">
      <c r="A13" s="8" t="s">
        <v>399</v>
      </c>
      <c r="B13" s="8" t="s">
        <v>253</v>
      </c>
      <c r="C13" s="8" t="s">
        <v>363</v>
      </c>
      <c r="D13" s="8" t="s">
        <v>1470</v>
      </c>
      <c r="E13" s="8">
        <v>1.808390658759476</v>
      </c>
    </row>
    <row r="14" spans="1:5" ht="24.75">
      <c r="A14" s="8" t="s">
        <v>399</v>
      </c>
      <c r="B14" s="8" t="s">
        <v>253</v>
      </c>
      <c r="C14" s="8" t="s">
        <v>363</v>
      </c>
      <c r="D14" s="8" t="s">
        <v>1471</v>
      </c>
      <c r="E14" s="8">
        <v>1.3800298672581537</v>
      </c>
    </row>
    <row r="15" spans="1:5" ht="24.75">
      <c r="A15" s="8" t="s">
        <v>399</v>
      </c>
      <c r="B15" s="8" t="s">
        <v>253</v>
      </c>
      <c r="C15" s="8" t="s">
        <v>363</v>
      </c>
      <c r="D15" s="8" t="s">
        <v>1472</v>
      </c>
      <c r="E15" s="8">
        <v>6.5917445194276336</v>
      </c>
    </row>
    <row r="16" spans="1:5" ht="24.75">
      <c r="A16" s="8" t="s">
        <v>399</v>
      </c>
      <c r="B16" s="8" t="s">
        <v>253</v>
      </c>
      <c r="C16" s="8" t="s">
        <v>363</v>
      </c>
      <c r="D16" s="8" t="s">
        <v>1473</v>
      </c>
      <c r="E16" s="8">
        <v>15.745424417715496</v>
      </c>
    </row>
    <row r="17" spans="1:5" ht="24.75">
      <c r="A17" s="8" t="s">
        <v>399</v>
      </c>
      <c r="B17" s="8" t="s">
        <v>253</v>
      </c>
      <c r="C17" s="8" t="s">
        <v>363</v>
      </c>
      <c r="D17" s="8" t="s">
        <v>1474</v>
      </c>
      <c r="E17" s="8">
        <v>4.7925572497085778</v>
      </c>
    </row>
    <row r="18" spans="1:5" ht="24.75">
      <c r="A18" s="8" t="s">
        <v>399</v>
      </c>
      <c r="B18" s="8" t="s">
        <v>253</v>
      </c>
      <c r="C18" s="8" t="s">
        <v>363</v>
      </c>
      <c r="D18" s="8" t="s">
        <v>1475</v>
      </c>
      <c r="E18" s="8">
        <v>6.8917433323704902</v>
      </c>
    </row>
    <row r="19" spans="1:5" ht="24.75">
      <c r="A19" s="8" t="s">
        <v>399</v>
      </c>
      <c r="B19" s="8" t="s">
        <v>253</v>
      </c>
      <c r="C19" s="8" t="s">
        <v>363</v>
      </c>
      <c r="D19" s="8" t="s">
        <v>1476</v>
      </c>
      <c r="E19" s="8">
        <v>1.4800341523637579</v>
      </c>
    </row>
    <row r="20" spans="1:5" ht="24.75">
      <c r="A20" s="8" t="s">
        <v>399</v>
      </c>
      <c r="B20" s="8" t="s">
        <v>253</v>
      </c>
      <c r="C20" s="8" t="s">
        <v>363</v>
      </c>
      <c r="D20" s="8" t="s">
        <v>1477</v>
      </c>
      <c r="E20" s="8">
        <v>3.4755491576964124</v>
      </c>
    </row>
    <row r="21" spans="1:5" ht="24.75">
      <c r="A21" s="8" t="s">
        <v>399</v>
      </c>
      <c r="B21" s="8" t="s">
        <v>253</v>
      </c>
      <c r="C21" s="8" t="s">
        <v>363</v>
      </c>
      <c r="D21" s="8" t="s">
        <v>1478</v>
      </c>
      <c r="E21" s="8">
        <v>1.8400395414197923</v>
      </c>
    </row>
    <row r="22" spans="1:5" ht="24.75">
      <c r="A22" s="8" t="s">
        <v>399</v>
      </c>
      <c r="B22" s="8" t="s">
        <v>253</v>
      </c>
      <c r="C22" s="8" t="s">
        <v>363</v>
      </c>
      <c r="D22" s="8" t="s">
        <v>1479</v>
      </c>
      <c r="E22" s="8">
        <v>2.0400430363607489</v>
      </c>
    </row>
    <row r="23" spans="1:5" ht="24.75">
      <c r="A23" s="8" t="s">
        <v>399</v>
      </c>
      <c r="B23" s="8" t="s">
        <v>253</v>
      </c>
      <c r="C23" s="8" t="s">
        <v>363</v>
      </c>
      <c r="D23" s="8" t="s">
        <v>1480</v>
      </c>
      <c r="E23" s="8">
        <v>6.7379437993834763</v>
      </c>
    </row>
    <row r="24" spans="1:5" ht="24.75">
      <c r="A24" s="8" t="s">
        <v>399</v>
      </c>
      <c r="B24" s="8" t="s">
        <v>253</v>
      </c>
      <c r="C24" s="8" t="s">
        <v>363</v>
      </c>
      <c r="D24" s="8" t="s">
        <v>1481</v>
      </c>
      <c r="E24" s="8">
        <v>3.2594047695425377</v>
      </c>
    </row>
    <row r="25" spans="1:5">
      <c r="A25" s="1" t="s">
        <v>246</v>
      </c>
      <c r="B25" s="1" t="s">
        <v>246</v>
      </c>
      <c r="C25" s="1">
        <f>SUBTOTAL(103,Elements13_3_391[Elemento])</f>
        <v>18</v>
      </c>
      <c r="D25" s="1" t="s">
        <v>246</v>
      </c>
      <c r="E25" s="1">
        <f>SUBTOTAL(109,Elements13_3_391[Totais:])</f>
        <v>75.055200809699954</v>
      </c>
    </row>
  </sheetData>
  <mergeCells count="3">
    <mergeCell ref="A1:E2"/>
    <mergeCell ref="A4:E4"/>
    <mergeCell ref="A5:E5"/>
  </mergeCells>
  <hyperlinks>
    <hyperlink ref="A1" location="'13.3.39'!A1" display="TUBO PVC,CONFORME ABNT NBR-7362,PARA ESGOTO SANITARIO,COM DI AMETRO NOMINAL DE 150MM,INCLUSIVE ANEL DE BORRACHA.FORNECIME NTO" xr:uid="{00000000-0004-0000-6700-000000000000}"/>
    <hyperlink ref="B1" location="'13.3.39'!A1" display="TUBO PVC,CONFORME ABNT NBR-7362,PARA ESGOTO SANITARIO,COM DI AMETRO NOMINAL DE 150MM,INCLUSIVE ANEL DE BORRACHA.FORNECIME NTO" xr:uid="{00000000-0004-0000-6700-000001000000}"/>
    <hyperlink ref="C1" location="'13.3.39'!A1" display="TUBO PVC,CONFORME ABNT NBR-7362,PARA ESGOTO SANITARIO,COM DI AMETRO NOMINAL DE 150MM,INCLUSIVE ANEL DE BORRACHA.FORNECIME NTO" xr:uid="{00000000-0004-0000-6700-000002000000}"/>
    <hyperlink ref="D1" location="'13.3.39'!A1" display="TUBO PVC,CONFORME ABNT NBR-7362,PARA ESGOTO SANITARIO,COM DI AMETRO NOMINAL DE 150MM,INCLUSIVE ANEL DE BORRACHA.FORNECIME NTO" xr:uid="{00000000-0004-0000-6700-000003000000}"/>
    <hyperlink ref="E1" location="'13.3.39'!A1" display="TUBO PVC,CONFORME ABNT NBR-7362,PARA ESGOTO SANITARIO,COM DI AMETRO NOMINAL DE 150MM,INCLUSIVE ANEL DE BORRACHA.FORNECIME NTO" xr:uid="{00000000-0004-0000-6700-000004000000}"/>
    <hyperlink ref="A2" location="'13.3.39'!A1" display="TUBO PVC,CONFORME ABNT NBR-7362,PARA ESGOTO SANITARIO,COM DI AMETRO NOMINAL DE 150MM,INCLUSIVE ANEL DE BORRACHA.FORNECIME NTO" xr:uid="{00000000-0004-0000-6700-000005000000}"/>
    <hyperlink ref="B2" location="'13.3.39'!A1" display="TUBO PVC,CONFORME ABNT NBR-7362,PARA ESGOTO SANITARIO,COM DI AMETRO NOMINAL DE 150MM,INCLUSIVE ANEL DE BORRACHA.FORNECIME NTO" xr:uid="{00000000-0004-0000-6700-000006000000}"/>
    <hyperlink ref="C2" location="'13.3.39'!A1" display="TUBO PVC,CONFORME ABNT NBR-7362,PARA ESGOTO SANITARIO,COM DI AMETRO NOMINAL DE 150MM,INCLUSIVE ANEL DE BORRACHA.FORNECIME NTO" xr:uid="{00000000-0004-0000-6700-000007000000}"/>
    <hyperlink ref="D2" location="'13.3.39'!A1" display="TUBO PVC,CONFORME ABNT NBR-7362,PARA ESGOTO SANITARIO,COM DI AMETRO NOMINAL DE 150MM,INCLUSIVE ANEL DE BORRACHA.FORNECIME NTO" xr:uid="{00000000-0004-0000-6700-000008000000}"/>
    <hyperlink ref="E2" location="'13.3.39'!A1" display="TUBO PVC,CONFORME ABNT NBR-7362,PARA ESGOTO SANITARIO,COM DI AMETRO NOMINAL DE 150MM,INCLUSIVE ANEL DE BORRACHA.FORNECIME NTO" xr:uid="{00000000-0004-0000-6700-000009000000}"/>
    <hyperlink ref="A4" location="'13.3.39'!A1" display="Tubulação (Comprimento)" xr:uid="{00000000-0004-0000-6700-00000A000000}"/>
    <hyperlink ref="B4" location="'13.3.39'!A1" display="Tubulação (Comprimento)" xr:uid="{00000000-0004-0000-6700-00000B000000}"/>
    <hyperlink ref="C4" location="'13.3.39'!A1" display="Tubulação (Comprimento)" xr:uid="{00000000-0004-0000-6700-00000C000000}"/>
    <hyperlink ref="D4" location="'13.3.39'!A1" display="Tubulação (Comprimento)" xr:uid="{00000000-0004-0000-6700-00000D000000}"/>
    <hyperlink ref="E4" location="'13.3.39'!A1" display="Tubulação (Comprimento)" xr:uid="{00000000-0004-0000-6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800-000000000000}">
  <dimension ref="A1:E2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166</v>
      </c>
      <c r="B1" s="20" t="s">
        <v>166</v>
      </c>
      <c r="C1" s="20" t="s">
        <v>166</v>
      </c>
      <c r="D1" s="20" t="s">
        <v>166</v>
      </c>
      <c r="E1" s="20" t="s">
        <v>166</v>
      </c>
    </row>
    <row r="2" spans="1:5">
      <c r="A2" s="20" t="s">
        <v>166</v>
      </c>
      <c r="B2" s="20" t="s">
        <v>166</v>
      </c>
      <c r="C2" s="20" t="s">
        <v>166</v>
      </c>
      <c r="D2" s="20" t="s">
        <v>166</v>
      </c>
      <c r="E2" s="20" t="s">
        <v>166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365</v>
      </c>
      <c r="D7" s="8" t="s">
        <v>1482</v>
      </c>
      <c r="E7" s="8">
        <v>4.4873723902495684</v>
      </c>
    </row>
    <row r="8" spans="1:5" ht="24.75">
      <c r="A8" s="8" t="s">
        <v>399</v>
      </c>
      <c r="B8" s="8" t="s">
        <v>253</v>
      </c>
      <c r="C8" s="8" t="s">
        <v>365</v>
      </c>
      <c r="D8" s="8" t="s">
        <v>1483</v>
      </c>
      <c r="E8" s="8">
        <v>2.0262632094953874</v>
      </c>
    </row>
    <row r="9" spans="1:5" ht="24.75">
      <c r="A9" s="8" t="s">
        <v>399</v>
      </c>
      <c r="B9" s="8" t="s">
        <v>253</v>
      </c>
      <c r="C9" s="8" t="s">
        <v>365</v>
      </c>
      <c r="D9" s="8" t="s">
        <v>1484</v>
      </c>
      <c r="E9" s="8">
        <v>2.130216144777076</v>
      </c>
    </row>
    <row r="10" spans="1:5" ht="24.75">
      <c r="A10" s="8" t="s">
        <v>399</v>
      </c>
      <c r="B10" s="8" t="s">
        <v>253</v>
      </c>
      <c r="C10" s="8" t="s">
        <v>365</v>
      </c>
      <c r="D10" s="8" t="s">
        <v>1485</v>
      </c>
      <c r="E10" s="8">
        <v>16.681507778869818</v>
      </c>
    </row>
    <row r="11" spans="1:5" ht="24.75">
      <c r="A11" s="8" t="s">
        <v>399</v>
      </c>
      <c r="B11" s="8" t="s">
        <v>253</v>
      </c>
      <c r="C11" s="8" t="s">
        <v>365</v>
      </c>
      <c r="D11" s="8" t="s">
        <v>1486</v>
      </c>
      <c r="E11" s="8">
        <v>0.61444313644422455</v>
      </c>
    </row>
    <row r="12" spans="1:5" ht="24.75">
      <c r="A12" s="8" t="s">
        <v>399</v>
      </c>
      <c r="B12" s="8" t="s">
        <v>253</v>
      </c>
      <c r="C12" s="8" t="s">
        <v>365</v>
      </c>
      <c r="D12" s="8" t="s">
        <v>1487</v>
      </c>
      <c r="E12" s="8">
        <v>0.44139604245892072</v>
      </c>
    </row>
    <row r="13" spans="1:5" ht="24.75">
      <c r="A13" s="8" t="s">
        <v>399</v>
      </c>
      <c r="B13" s="8" t="s">
        <v>253</v>
      </c>
      <c r="C13" s="8" t="s">
        <v>365</v>
      </c>
      <c r="D13" s="8" t="s">
        <v>1488</v>
      </c>
      <c r="E13" s="8">
        <v>2.8801439964001796</v>
      </c>
    </row>
    <row r="14" spans="1:5" ht="24.75">
      <c r="A14" s="8" t="s">
        <v>399</v>
      </c>
      <c r="B14" s="8" t="s">
        <v>253</v>
      </c>
      <c r="C14" s="8" t="s">
        <v>365</v>
      </c>
      <c r="D14" s="8" t="s">
        <v>1489</v>
      </c>
      <c r="E14" s="8">
        <v>6.6493970989652986</v>
      </c>
    </row>
    <row r="15" spans="1:5" ht="24.75">
      <c r="A15" s="8" t="s">
        <v>399</v>
      </c>
      <c r="B15" s="8" t="s">
        <v>253</v>
      </c>
      <c r="C15" s="8" t="s">
        <v>365</v>
      </c>
      <c r="D15" s="8" t="s">
        <v>1490</v>
      </c>
      <c r="E15" s="8">
        <v>12.47702776328363</v>
      </c>
    </row>
    <row r="16" spans="1:5" ht="24.75">
      <c r="A16" s="8" t="s">
        <v>399</v>
      </c>
      <c r="B16" s="8" t="s">
        <v>253</v>
      </c>
      <c r="C16" s="8" t="s">
        <v>365</v>
      </c>
      <c r="D16" s="8" t="s">
        <v>1491</v>
      </c>
      <c r="E16" s="8">
        <v>16.603545468298282</v>
      </c>
    </row>
    <row r="17" spans="1:5" ht="24.75">
      <c r="A17" s="8" t="s">
        <v>399</v>
      </c>
      <c r="B17" s="8" t="s">
        <v>253</v>
      </c>
      <c r="C17" s="8" t="s">
        <v>365</v>
      </c>
      <c r="D17" s="8" t="s">
        <v>1492</v>
      </c>
      <c r="E17" s="8">
        <v>25.853820981538782</v>
      </c>
    </row>
    <row r="18" spans="1:5" ht="24.75">
      <c r="A18" s="8" t="s">
        <v>399</v>
      </c>
      <c r="B18" s="8" t="s">
        <v>253</v>
      </c>
      <c r="C18" s="8" t="s">
        <v>365</v>
      </c>
      <c r="D18" s="8" t="s">
        <v>1493</v>
      </c>
      <c r="E18" s="8">
        <v>6.4668800257842651</v>
      </c>
    </row>
    <row r="19" spans="1:5" ht="24.75">
      <c r="A19" s="8" t="s">
        <v>399</v>
      </c>
      <c r="B19" s="8" t="s">
        <v>253</v>
      </c>
      <c r="C19" s="8" t="s">
        <v>365</v>
      </c>
      <c r="D19" s="8" t="s">
        <v>1494</v>
      </c>
      <c r="E19" s="8">
        <v>11.275852607417981</v>
      </c>
    </row>
    <row r="20" spans="1:5" ht="24.75">
      <c r="A20" s="8" t="s">
        <v>399</v>
      </c>
      <c r="B20" s="8" t="s">
        <v>253</v>
      </c>
      <c r="C20" s="8" t="s">
        <v>365</v>
      </c>
      <c r="D20" s="8" t="s">
        <v>1495</v>
      </c>
      <c r="E20" s="8">
        <v>6.7362025752407355</v>
      </c>
    </row>
    <row r="21" spans="1:5">
      <c r="A21" s="1" t="s">
        <v>246</v>
      </c>
      <c r="B21" s="1" t="s">
        <v>246</v>
      </c>
      <c r="C21" s="1">
        <f>SUBTOTAL(103,Elements13_3_401[Elemento])</f>
        <v>14</v>
      </c>
      <c r="D21" s="1" t="s">
        <v>246</v>
      </c>
      <c r="E21" s="1">
        <f>SUBTOTAL(109,Elements13_3_401[Totais:])</f>
        <v>115.32406921922414</v>
      </c>
    </row>
  </sheetData>
  <mergeCells count="3">
    <mergeCell ref="A1:E2"/>
    <mergeCell ref="A4:E4"/>
    <mergeCell ref="A5:E5"/>
  </mergeCells>
  <hyperlinks>
    <hyperlink ref="A1" location="'13.3.40'!A1" display="TUBO, PVC OCRE, JUNTA ELÁSTICA, DN 100 MM, PARA COLETOR PREDIAL DE ESGOTO. AF_06/2022" xr:uid="{00000000-0004-0000-6800-000000000000}"/>
    <hyperlink ref="B1" location="'13.3.40'!A1" display="TUBO, PVC OCRE, JUNTA ELÁSTICA, DN 100 MM, PARA COLETOR PREDIAL DE ESGOTO. AF_06/2022" xr:uid="{00000000-0004-0000-6800-000001000000}"/>
    <hyperlink ref="C1" location="'13.3.40'!A1" display="TUBO, PVC OCRE, JUNTA ELÁSTICA, DN 100 MM, PARA COLETOR PREDIAL DE ESGOTO. AF_06/2022" xr:uid="{00000000-0004-0000-6800-000002000000}"/>
    <hyperlink ref="D1" location="'13.3.40'!A1" display="TUBO, PVC OCRE, JUNTA ELÁSTICA, DN 100 MM, PARA COLETOR PREDIAL DE ESGOTO. AF_06/2022" xr:uid="{00000000-0004-0000-6800-000003000000}"/>
    <hyperlink ref="E1" location="'13.3.40'!A1" display="TUBO, PVC OCRE, JUNTA ELÁSTICA, DN 100 MM, PARA COLETOR PREDIAL DE ESGOTO. AF_06/2022" xr:uid="{00000000-0004-0000-6800-000004000000}"/>
    <hyperlink ref="A2" location="'13.3.40'!A1" display="TUBO, PVC OCRE, JUNTA ELÁSTICA, DN 100 MM, PARA COLETOR PREDIAL DE ESGOTO. AF_06/2022" xr:uid="{00000000-0004-0000-6800-000005000000}"/>
    <hyperlink ref="B2" location="'13.3.40'!A1" display="TUBO, PVC OCRE, JUNTA ELÁSTICA, DN 100 MM, PARA COLETOR PREDIAL DE ESGOTO. AF_06/2022" xr:uid="{00000000-0004-0000-6800-000006000000}"/>
    <hyperlink ref="C2" location="'13.3.40'!A1" display="TUBO, PVC OCRE, JUNTA ELÁSTICA, DN 100 MM, PARA COLETOR PREDIAL DE ESGOTO. AF_06/2022" xr:uid="{00000000-0004-0000-6800-000007000000}"/>
    <hyperlink ref="D2" location="'13.3.40'!A1" display="TUBO, PVC OCRE, JUNTA ELÁSTICA, DN 100 MM, PARA COLETOR PREDIAL DE ESGOTO. AF_06/2022" xr:uid="{00000000-0004-0000-6800-000008000000}"/>
    <hyperlink ref="E2" location="'13.3.40'!A1" display="TUBO, PVC OCRE, JUNTA ELÁSTICA, DN 100 MM, PARA COLETOR PREDIAL DE ESGOTO. AF_06/2022" xr:uid="{00000000-0004-0000-6800-000009000000}"/>
    <hyperlink ref="A4" location="'13.3.40'!A1" display="Tubulação (Comprimento)" xr:uid="{00000000-0004-0000-6800-00000A000000}"/>
    <hyperlink ref="B4" location="'13.3.40'!A1" display="Tubulação (Comprimento)" xr:uid="{00000000-0004-0000-6800-00000B000000}"/>
    <hyperlink ref="C4" location="'13.3.40'!A1" display="Tubulação (Comprimento)" xr:uid="{00000000-0004-0000-6800-00000C000000}"/>
    <hyperlink ref="D4" location="'13.3.40'!A1" display="Tubulação (Comprimento)" xr:uid="{00000000-0004-0000-6800-00000D000000}"/>
    <hyperlink ref="E4" location="'13.3.40'!A1" display="Tubulação (Comprimento)" xr:uid="{00000000-0004-0000-6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9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170</v>
      </c>
      <c r="B1" s="20" t="s">
        <v>170</v>
      </c>
      <c r="C1" s="20" t="s">
        <v>170</v>
      </c>
      <c r="D1" s="20" t="s">
        <v>170</v>
      </c>
      <c r="E1" s="20" t="s">
        <v>170</v>
      </c>
    </row>
    <row r="2" spans="1:5">
      <c r="A2" s="20" t="s">
        <v>170</v>
      </c>
      <c r="B2" s="20" t="s">
        <v>170</v>
      </c>
      <c r="C2" s="20" t="s">
        <v>170</v>
      </c>
      <c r="D2" s="20" t="s">
        <v>170</v>
      </c>
      <c r="E2" s="20" t="s">
        <v>170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365</v>
      </c>
      <c r="D7" s="8" t="s">
        <v>1496</v>
      </c>
      <c r="E7" s="8">
        <v>0.17949134213489187</v>
      </c>
    </row>
    <row r="8" spans="1:5" ht="24.75">
      <c r="A8" s="8" t="s">
        <v>399</v>
      </c>
      <c r="B8" s="8" t="s">
        <v>253</v>
      </c>
      <c r="C8" s="8" t="s">
        <v>365</v>
      </c>
      <c r="D8" s="8" t="s">
        <v>1497</v>
      </c>
      <c r="E8" s="8">
        <v>0.38199003109947999</v>
      </c>
    </row>
    <row r="9" spans="1:5" ht="24.75">
      <c r="A9" s="8" t="s">
        <v>399</v>
      </c>
      <c r="B9" s="8" t="s">
        <v>253</v>
      </c>
      <c r="C9" s="8" t="s">
        <v>365</v>
      </c>
      <c r="D9" s="8" t="s">
        <v>1498</v>
      </c>
      <c r="E9" s="8">
        <v>3.5563322457351156</v>
      </c>
    </row>
    <row r="10" spans="1:5" ht="24.75">
      <c r="A10" s="8" t="s">
        <v>399</v>
      </c>
      <c r="B10" s="8" t="s">
        <v>253</v>
      </c>
      <c r="C10" s="8" t="s">
        <v>365</v>
      </c>
      <c r="D10" s="8" t="s">
        <v>1499</v>
      </c>
      <c r="E10" s="8">
        <v>0.22634591466425996</v>
      </c>
    </row>
    <row r="11" spans="1:5" ht="24.75">
      <c r="A11" s="8" t="s">
        <v>399</v>
      </c>
      <c r="B11" s="8" t="s">
        <v>253</v>
      </c>
      <c r="C11" s="8" t="s">
        <v>365</v>
      </c>
      <c r="D11" s="8" t="s">
        <v>1500</v>
      </c>
      <c r="E11" s="8">
        <v>7.755217190963136</v>
      </c>
    </row>
    <row r="12" spans="1:5" ht="24.75">
      <c r="A12" s="8" t="s">
        <v>399</v>
      </c>
      <c r="B12" s="8" t="s">
        <v>253</v>
      </c>
      <c r="C12" s="8" t="s">
        <v>365</v>
      </c>
      <c r="D12" s="8" t="s">
        <v>1501</v>
      </c>
      <c r="E12" s="8">
        <v>7.18809416913997</v>
      </c>
    </row>
    <row r="13" spans="1:5" ht="24.75">
      <c r="A13" s="8" t="s">
        <v>399</v>
      </c>
      <c r="B13" s="8" t="s">
        <v>253</v>
      </c>
      <c r="C13" s="8" t="s">
        <v>365</v>
      </c>
      <c r="D13" s="8" t="s">
        <v>1502</v>
      </c>
      <c r="E13" s="8">
        <v>4.3452867516182758</v>
      </c>
    </row>
    <row r="14" spans="1:5" ht="24.75">
      <c r="A14" s="8" t="s">
        <v>399</v>
      </c>
      <c r="B14" s="8" t="s">
        <v>253</v>
      </c>
      <c r="C14" s="8" t="s">
        <v>365</v>
      </c>
      <c r="D14" s="8" t="s">
        <v>1503</v>
      </c>
      <c r="E14" s="8">
        <v>8.1068992770906441</v>
      </c>
    </row>
    <row r="15" spans="1:5" ht="24.75">
      <c r="A15" s="8" t="s">
        <v>399</v>
      </c>
      <c r="B15" s="8" t="s">
        <v>253</v>
      </c>
      <c r="C15" s="8" t="s">
        <v>365</v>
      </c>
      <c r="D15" s="8" t="s">
        <v>1504</v>
      </c>
      <c r="E15" s="8">
        <v>2.5035690614558357</v>
      </c>
    </row>
    <row r="16" spans="1:5" ht="24.75">
      <c r="A16" s="8" t="s">
        <v>399</v>
      </c>
      <c r="B16" s="8" t="s">
        <v>253</v>
      </c>
      <c r="C16" s="8" t="s">
        <v>365</v>
      </c>
      <c r="D16" s="8" t="s">
        <v>1505</v>
      </c>
      <c r="E16" s="8">
        <v>16.741091832068062</v>
      </c>
    </row>
    <row r="17" spans="1:5" ht="24.75">
      <c r="A17" s="8" t="s">
        <v>399</v>
      </c>
      <c r="B17" s="8" t="s">
        <v>253</v>
      </c>
      <c r="C17" s="8" t="s">
        <v>365</v>
      </c>
      <c r="D17" s="8" t="s">
        <v>1506</v>
      </c>
      <c r="E17" s="8">
        <v>6.5217698316937938</v>
      </c>
    </row>
    <row r="18" spans="1:5" ht="24.75">
      <c r="A18" s="8" t="s">
        <v>399</v>
      </c>
      <c r="B18" s="8" t="s">
        <v>253</v>
      </c>
      <c r="C18" s="8" t="s">
        <v>365</v>
      </c>
      <c r="D18" s="8" t="s">
        <v>1507</v>
      </c>
      <c r="E18" s="8">
        <v>13.82459614755305</v>
      </c>
    </row>
    <row r="19" spans="1:5" ht="24.75">
      <c r="A19" s="8" t="s">
        <v>399</v>
      </c>
      <c r="B19" s="8" t="s">
        <v>253</v>
      </c>
      <c r="C19" s="8" t="s">
        <v>365</v>
      </c>
      <c r="D19" s="8" t="s">
        <v>1508</v>
      </c>
      <c r="E19" s="8">
        <v>19.151898734042305</v>
      </c>
    </row>
    <row r="20" spans="1:5" ht="24.75">
      <c r="A20" s="8" t="s">
        <v>399</v>
      </c>
      <c r="B20" s="8" t="s">
        <v>253</v>
      </c>
      <c r="C20" s="8" t="s">
        <v>365</v>
      </c>
      <c r="D20" s="8" t="s">
        <v>1509</v>
      </c>
      <c r="E20" s="8">
        <v>2.5918396819530267</v>
      </c>
    </row>
    <row r="21" spans="1:5" ht="24.75">
      <c r="A21" s="8" t="s">
        <v>399</v>
      </c>
      <c r="B21" s="8" t="s">
        <v>253</v>
      </c>
      <c r="C21" s="8" t="s">
        <v>365</v>
      </c>
      <c r="D21" s="8" t="s">
        <v>1510</v>
      </c>
      <c r="E21" s="8">
        <v>6.6400829994812574</v>
      </c>
    </row>
    <row r="22" spans="1:5" ht="24.75">
      <c r="A22" s="8" t="s">
        <v>399</v>
      </c>
      <c r="B22" s="8" t="s">
        <v>253</v>
      </c>
      <c r="C22" s="8" t="s">
        <v>365</v>
      </c>
      <c r="D22" s="8" t="s">
        <v>1511</v>
      </c>
      <c r="E22" s="8">
        <v>9.2926819783493393</v>
      </c>
    </row>
    <row r="23" spans="1:5" ht="24.75">
      <c r="A23" s="8" t="s">
        <v>399</v>
      </c>
      <c r="B23" s="8" t="s">
        <v>253</v>
      </c>
      <c r="C23" s="8" t="s">
        <v>365</v>
      </c>
      <c r="D23" s="8" t="s">
        <v>1512</v>
      </c>
      <c r="E23" s="8">
        <v>0.62393268926943934</v>
      </c>
    </row>
    <row r="24" spans="1:5" ht="24.75">
      <c r="A24" s="8" t="s">
        <v>399</v>
      </c>
      <c r="B24" s="8" t="s">
        <v>253</v>
      </c>
      <c r="C24" s="8" t="s">
        <v>365</v>
      </c>
      <c r="D24" s="8" t="s">
        <v>1513</v>
      </c>
      <c r="E24" s="8">
        <v>0.8158420950542139</v>
      </c>
    </row>
    <row r="25" spans="1:5">
      <c r="A25" s="1" t="s">
        <v>246</v>
      </c>
      <c r="B25" s="1" t="s">
        <v>246</v>
      </c>
      <c r="C25" s="1">
        <f>SUBTOTAL(103,Elements13_3_411[Elemento])</f>
        <v>18</v>
      </c>
      <c r="D25" s="1" t="s">
        <v>246</v>
      </c>
      <c r="E25" s="1">
        <f>SUBTOTAL(109,Elements13_3_411[Totais:])</f>
        <v>110.44696197336609</v>
      </c>
    </row>
  </sheetData>
  <mergeCells count="3">
    <mergeCell ref="A1:E2"/>
    <mergeCell ref="A4:E4"/>
    <mergeCell ref="A5:E5"/>
  </mergeCells>
  <hyperlinks>
    <hyperlink ref="A1" location="'13.3.41'!A1" display="TUBO, PVC OCRE, JUNTA ELÁSTICA, DN 150 MM, PARA COLETOR PREDIAL DE ESGOTO. AF_06/2022" xr:uid="{00000000-0004-0000-6900-000000000000}"/>
    <hyperlink ref="B1" location="'13.3.41'!A1" display="TUBO, PVC OCRE, JUNTA ELÁSTICA, DN 150 MM, PARA COLETOR PREDIAL DE ESGOTO. AF_06/2022" xr:uid="{00000000-0004-0000-6900-000001000000}"/>
    <hyperlink ref="C1" location="'13.3.41'!A1" display="TUBO, PVC OCRE, JUNTA ELÁSTICA, DN 150 MM, PARA COLETOR PREDIAL DE ESGOTO. AF_06/2022" xr:uid="{00000000-0004-0000-6900-000002000000}"/>
    <hyperlink ref="D1" location="'13.3.41'!A1" display="TUBO, PVC OCRE, JUNTA ELÁSTICA, DN 150 MM, PARA COLETOR PREDIAL DE ESGOTO. AF_06/2022" xr:uid="{00000000-0004-0000-6900-000003000000}"/>
    <hyperlink ref="E1" location="'13.3.41'!A1" display="TUBO, PVC OCRE, JUNTA ELÁSTICA, DN 150 MM, PARA COLETOR PREDIAL DE ESGOTO. AF_06/2022" xr:uid="{00000000-0004-0000-6900-000004000000}"/>
    <hyperlink ref="A2" location="'13.3.41'!A1" display="TUBO, PVC OCRE, JUNTA ELÁSTICA, DN 150 MM, PARA COLETOR PREDIAL DE ESGOTO. AF_06/2022" xr:uid="{00000000-0004-0000-6900-000005000000}"/>
    <hyperlink ref="B2" location="'13.3.41'!A1" display="TUBO, PVC OCRE, JUNTA ELÁSTICA, DN 150 MM, PARA COLETOR PREDIAL DE ESGOTO. AF_06/2022" xr:uid="{00000000-0004-0000-6900-000006000000}"/>
    <hyperlink ref="C2" location="'13.3.41'!A1" display="TUBO, PVC OCRE, JUNTA ELÁSTICA, DN 150 MM, PARA COLETOR PREDIAL DE ESGOTO. AF_06/2022" xr:uid="{00000000-0004-0000-6900-000007000000}"/>
    <hyperlink ref="D2" location="'13.3.41'!A1" display="TUBO, PVC OCRE, JUNTA ELÁSTICA, DN 150 MM, PARA COLETOR PREDIAL DE ESGOTO. AF_06/2022" xr:uid="{00000000-0004-0000-6900-000008000000}"/>
    <hyperlink ref="E2" location="'13.3.41'!A1" display="TUBO, PVC OCRE, JUNTA ELÁSTICA, DN 150 MM, PARA COLETOR PREDIAL DE ESGOTO. AF_06/2022" xr:uid="{00000000-0004-0000-6900-000009000000}"/>
    <hyperlink ref="A4" location="'13.3.41'!A1" display="Tubulação (Comprimento)" xr:uid="{00000000-0004-0000-6900-00000A000000}"/>
    <hyperlink ref="B4" location="'13.3.41'!A1" display="Tubulação (Comprimento)" xr:uid="{00000000-0004-0000-6900-00000B000000}"/>
    <hyperlink ref="C4" location="'13.3.41'!A1" display="Tubulação (Comprimento)" xr:uid="{00000000-0004-0000-6900-00000C000000}"/>
    <hyperlink ref="D4" location="'13.3.41'!A1" display="Tubulação (Comprimento)" xr:uid="{00000000-0004-0000-6900-00000D000000}"/>
    <hyperlink ref="E4" location="'13.3.41'!A1" display="Tubulação (Comprimento)" xr:uid="{00000000-0004-0000-6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A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175</v>
      </c>
      <c r="B1" s="20" t="s">
        <v>175</v>
      </c>
      <c r="C1" s="20" t="s">
        <v>175</v>
      </c>
      <c r="D1" s="20" t="s">
        <v>175</v>
      </c>
      <c r="E1" s="20" t="s">
        <v>175</v>
      </c>
    </row>
    <row r="2" spans="1:5">
      <c r="A2" s="20" t="s">
        <v>175</v>
      </c>
      <c r="B2" s="20" t="s">
        <v>175</v>
      </c>
      <c r="C2" s="20" t="s">
        <v>175</v>
      </c>
      <c r="D2" s="20" t="s">
        <v>175</v>
      </c>
      <c r="E2" s="20" t="s">
        <v>175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1514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1515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1516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1517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1518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1519</v>
      </c>
      <c r="E12" s="8">
        <v>1</v>
      </c>
    </row>
    <row r="13" spans="1:5">
      <c r="A13" s="1" t="s">
        <v>246</v>
      </c>
      <c r="B13" s="1" t="s">
        <v>246</v>
      </c>
      <c r="C13" s="1">
        <f>SUBTOTAL(103,Elements13_3_421[Elemento])</f>
        <v>6</v>
      </c>
      <c r="D13" s="1" t="s">
        <v>246</v>
      </c>
      <c r="E13" s="1">
        <f>SUBTOTAL(109,Elements13_3_421[Totais:])</f>
        <v>6</v>
      </c>
    </row>
  </sheetData>
  <mergeCells count="3">
    <mergeCell ref="A1:E2"/>
    <mergeCell ref="A4:E4"/>
    <mergeCell ref="A5:E5"/>
  </mergeCells>
  <hyperlinks>
    <hyperlink ref="A1" location="'13.3.42'!A1" display="Joelho de PVC rigido, serie R, 45o, ponta e bolsa, diametro de 75mm. Fornecimento e instalacao." xr:uid="{00000000-0004-0000-6A00-000000000000}"/>
    <hyperlink ref="B1" location="'13.3.42'!A1" display="Joelho de PVC rigido, serie R, 45o, ponta e bolsa, diametro de 75mm. Fornecimento e instalacao." xr:uid="{00000000-0004-0000-6A00-000001000000}"/>
    <hyperlink ref="C1" location="'13.3.42'!A1" display="Joelho de PVC rigido, serie R, 45o, ponta e bolsa, diametro de 75mm. Fornecimento e instalacao." xr:uid="{00000000-0004-0000-6A00-000002000000}"/>
    <hyperlink ref="D1" location="'13.3.42'!A1" display="Joelho de PVC rigido, serie R, 45o, ponta e bolsa, diametro de 75mm. Fornecimento e instalacao." xr:uid="{00000000-0004-0000-6A00-000003000000}"/>
    <hyperlink ref="E1" location="'13.3.42'!A1" display="Joelho de PVC rigido, serie R, 45o, ponta e bolsa, diametro de 75mm. Fornecimento e instalacao." xr:uid="{00000000-0004-0000-6A00-000004000000}"/>
    <hyperlink ref="A2" location="'13.3.42'!A1" display="Joelho de PVC rigido, serie R, 45o, ponta e bolsa, diametro de 75mm. Fornecimento e instalacao." xr:uid="{00000000-0004-0000-6A00-000005000000}"/>
    <hyperlink ref="B2" location="'13.3.42'!A1" display="Joelho de PVC rigido, serie R, 45o, ponta e bolsa, diametro de 75mm. Fornecimento e instalacao." xr:uid="{00000000-0004-0000-6A00-000006000000}"/>
    <hyperlink ref="C2" location="'13.3.42'!A1" display="Joelho de PVC rigido, serie R, 45o, ponta e bolsa, diametro de 75mm. Fornecimento e instalacao." xr:uid="{00000000-0004-0000-6A00-000007000000}"/>
    <hyperlink ref="D2" location="'13.3.42'!A1" display="Joelho de PVC rigido, serie R, 45o, ponta e bolsa, diametro de 75mm. Fornecimento e instalacao." xr:uid="{00000000-0004-0000-6A00-000008000000}"/>
    <hyperlink ref="E2" location="'13.3.42'!A1" display="Joelho de PVC rigido, serie R, 45o, ponta e bolsa, diametro de 75mm. Fornecimento e instalacao." xr:uid="{00000000-0004-0000-6A00-000009000000}"/>
    <hyperlink ref="A4" location="'13.3.42'!A1" display="Conexões de tubo (Afastamento)" xr:uid="{00000000-0004-0000-6A00-00000A000000}"/>
    <hyperlink ref="B4" location="'13.3.42'!A1" display="Conexões de tubo (Afastamento)" xr:uid="{00000000-0004-0000-6A00-00000B000000}"/>
    <hyperlink ref="C4" location="'13.3.42'!A1" display="Conexões de tubo (Afastamento)" xr:uid="{00000000-0004-0000-6A00-00000C000000}"/>
    <hyperlink ref="D4" location="'13.3.42'!A1" display="Conexões de tubo (Afastamento)" xr:uid="{00000000-0004-0000-6A00-00000D000000}"/>
    <hyperlink ref="E4" location="'13.3.42'!A1" display="Conexões de tubo (Afastamento)" xr:uid="{00000000-0004-0000-6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B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178</v>
      </c>
      <c r="B1" s="20" t="s">
        <v>178</v>
      </c>
      <c r="C1" s="20" t="s">
        <v>178</v>
      </c>
      <c r="D1" s="20" t="s">
        <v>178</v>
      </c>
      <c r="E1" s="20" t="s">
        <v>178</v>
      </c>
    </row>
    <row r="2" spans="1:5">
      <c r="A2" s="20" t="s">
        <v>178</v>
      </c>
      <c r="B2" s="20" t="s">
        <v>178</v>
      </c>
      <c r="C2" s="20" t="s">
        <v>178</v>
      </c>
      <c r="D2" s="20" t="s">
        <v>178</v>
      </c>
      <c r="E2" s="20" t="s">
        <v>178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1520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1521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1522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1523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1524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1525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1526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1527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1528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1529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1530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1531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1532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1533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1534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1535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1536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1537</v>
      </c>
      <c r="E24" s="8">
        <v>1</v>
      </c>
    </row>
    <row r="25" spans="1:5">
      <c r="A25" s="1" t="s">
        <v>246</v>
      </c>
      <c r="B25" s="1" t="s">
        <v>246</v>
      </c>
      <c r="C25" s="1">
        <f>SUBTOTAL(103,Elements13_3_431[Elemento])</f>
        <v>18</v>
      </c>
      <c r="D25" s="1" t="s">
        <v>246</v>
      </c>
      <c r="E25" s="1">
        <f>SUBTOTAL(109,Elements13_3_431[Totais:])</f>
        <v>18</v>
      </c>
    </row>
  </sheetData>
  <mergeCells count="3">
    <mergeCell ref="A1:E2"/>
    <mergeCell ref="A4:E4"/>
    <mergeCell ref="A5:E5"/>
  </mergeCells>
  <hyperlinks>
    <hyperlink ref="A1" location="'13.3.43'!A1" display="Joelho de PVC rigido para esgoto, serie R, 90o, diametro de 75mm. Fornecimento e instalacao." xr:uid="{00000000-0004-0000-6B00-000000000000}"/>
    <hyperlink ref="B1" location="'13.3.43'!A1" display="Joelho de PVC rigido para esgoto, serie R, 90o, diametro de 75mm. Fornecimento e instalacao." xr:uid="{00000000-0004-0000-6B00-000001000000}"/>
    <hyperlink ref="C1" location="'13.3.43'!A1" display="Joelho de PVC rigido para esgoto, serie R, 90o, diametro de 75mm. Fornecimento e instalacao." xr:uid="{00000000-0004-0000-6B00-000002000000}"/>
    <hyperlink ref="D1" location="'13.3.43'!A1" display="Joelho de PVC rigido para esgoto, serie R, 90o, diametro de 75mm. Fornecimento e instalacao." xr:uid="{00000000-0004-0000-6B00-000003000000}"/>
    <hyperlink ref="E1" location="'13.3.43'!A1" display="Joelho de PVC rigido para esgoto, serie R, 90o, diametro de 75mm. Fornecimento e instalacao." xr:uid="{00000000-0004-0000-6B00-000004000000}"/>
    <hyperlink ref="A2" location="'13.3.43'!A1" display="Joelho de PVC rigido para esgoto, serie R, 90o, diametro de 75mm. Fornecimento e instalacao." xr:uid="{00000000-0004-0000-6B00-000005000000}"/>
    <hyperlink ref="B2" location="'13.3.43'!A1" display="Joelho de PVC rigido para esgoto, serie R, 90o, diametro de 75mm. Fornecimento e instalacao." xr:uid="{00000000-0004-0000-6B00-000006000000}"/>
    <hyperlink ref="C2" location="'13.3.43'!A1" display="Joelho de PVC rigido para esgoto, serie R, 90o, diametro de 75mm. Fornecimento e instalacao." xr:uid="{00000000-0004-0000-6B00-000007000000}"/>
    <hyperlink ref="D2" location="'13.3.43'!A1" display="Joelho de PVC rigido para esgoto, serie R, 90o, diametro de 75mm. Fornecimento e instalacao." xr:uid="{00000000-0004-0000-6B00-000008000000}"/>
    <hyperlink ref="E2" location="'13.3.43'!A1" display="Joelho de PVC rigido para esgoto, serie R, 90o, diametro de 75mm. Fornecimento e instalacao." xr:uid="{00000000-0004-0000-6B00-000009000000}"/>
    <hyperlink ref="A4" location="'13.3.43'!A1" display="Conexões de tubo" xr:uid="{00000000-0004-0000-6B00-00000A000000}"/>
    <hyperlink ref="B4" location="'13.3.43'!A1" display="Conexões de tubo" xr:uid="{00000000-0004-0000-6B00-00000B000000}"/>
    <hyperlink ref="C4" location="'13.3.43'!A1" display="Conexões de tubo" xr:uid="{00000000-0004-0000-6B00-00000C000000}"/>
    <hyperlink ref="D4" location="'13.3.43'!A1" display="Conexões de tubo" xr:uid="{00000000-0004-0000-6B00-00000D000000}"/>
    <hyperlink ref="E4" location="'13.3.43'!A1" display="Conexões de tubo" xr:uid="{00000000-0004-0000-6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C00-000000000000}">
  <dimension ref="A1:E1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181</v>
      </c>
      <c r="B1" s="20" t="s">
        <v>181</v>
      </c>
      <c r="C1" s="20" t="s">
        <v>181</v>
      </c>
      <c r="D1" s="20" t="s">
        <v>181</v>
      </c>
      <c r="E1" s="20" t="s">
        <v>181</v>
      </c>
    </row>
    <row r="2" spans="1:5">
      <c r="A2" s="20" t="s">
        <v>181</v>
      </c>
      <c r="B2" s="20" t="s">
        <v>181</v>
      </c>
      <c r="C2" s="20" t="s">
        <v>181</v>
      </c>
      <c r="D2" s="20" t="s">
        <v>181</v>
      </c>
      <c r="E2" s="20" t="s">
        <v>181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1538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1539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1540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1541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1542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1543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1544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1545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1546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1547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1548</v>
      </c>
      <c r="E17" s="8">
        <v>1</v>
      </c>
    </row>
    <row r="18" spans="1:5">
      <c r="A18" s="1" t="s">
        <v>246</v>
      </c>
      <c r="B18" s="1" t="s">
        <v>246</v>
      </c>
      <c r="C18" s="1">
        <f>SUBTOTAL(103,Elements13_3_441[Elemento])</f>
        <v>11</v>
      </c>
      <c r="D18" s="1" t="s">
        <v>246</v>
      </c>
      <c r="E18" s="1">
        <f>SUBTOTAL(109,Elements13_3_441[Totais:])</f>
        <v>11</v>
      </c>
    </row>
  </sheetData>
  <mergeCells count="3">
    <mergeCell ref="A1:E2"/>
    <mergeCell ref="A4:E4"/>
    <mergeCell ref="A5:E5"/>
  </mergeCells>
  <hyperlinks>
    <hyperlink ref="A1" location="'13.3.44'!A1" display="Joelho de PVC rigido, 45o, serie R, ponta e bolsa, diametro de 150mm. Fornecimento e instalacao." xr:uid="{00000000-0004-0000-6C00-000000000000}"/>
    <hyperlink ref="B1" location="'13.3.44'!A1" display="Joelho de PVC rigido, 45o, serie R, ponta e bolsa, diametro de 150mm. Fornecimento e instalacao." xr:uid="{00000000-0004-0000-6C00-000001000000}"/>
    <hyperlink ref="C1" location="'13.3.44'!A1" display="Joelho de PVC rigido, 45o, serie R, ponta e bolsa, diametro de 150mm. Fornecimento e instalacao." xr:uid="{00000000-0004-0000-6C00-000002000000}"/>
    <hyperlink ref="D1" location="'13.3.44'!A1" display="Joelho de PVC rigido, 45o, serie R, ponta e bolsa, diametro de 150mm. Fornecimento e instalacao." xr:uid="{00000000-0004-0000-6C00-000003000000}"/>
    <hyperlink ref="E1" location="'13.3.44'!A1" display="Joelho de PVC rigido, 45o, serie R, ponta e bolsa, diametro de 150mm. Fornecimento e instalacao." xr:uid="{00000000-0004-0000-6C00-000004000000}"/>
    <hyperlink ref="A2" location="'13.3.44'!A1" display="Joelho de PVC rigido, 45o, serie R, ponta e bolsa, diametro de 150mm. Fornecimento e instalacao." xr:uid="{00000000-0004-0000-6C00-000005000000}"/>
    <hyperlink ref="B2" location="'13.3.44'!A1" display="Joelho de PVC rigido, 45o, serie R, ponta e bolsa, diametro de 150mm. Fornecimento e instalacao." xr:uid="{00000000-0004-0000-6C00-000006000000}"/>
    <hyperlink ref="C2" location="'13.3.44'!A1" display="Joelho de PVC rigido, 45o, serie R, ponta e bolsa, diametro de 150mm. Fornecimento e instalacao." xr:uid="{00000000-0004-0000-6C00-000007000000}"/>
    <hyperlink ref="D2" location="'13.3.44'!A1" display="Joelho de PVC rigido, 45o, serie R, ponta e bolsa, diametro de 150mm. Fornecimento e instalacao." xr:uid="{00000000-0004-0000-6C00-000008000000}"/>
    <hyperlink ref="E2" location="'13.3.44'!A1" display="Joelho de PVC rigido, 45o, serie R, ponta e bolsa, diametro de 150mm. Fornecimento e instalacao." xr:uid="{00000000-0004-0000-6C00-000009000000}"/>
    <hyperlink ref="A4" location="'13.3.44'!A1" display="Conexões de tubo (Afastamento)" xr:uid="{00000000-0004-0000-6C00-00000A000000}"/>
    <hyperlink ref="B4" location="'13.3.44'!A1" display="Conexões de tubo (Afastamento)" xr:uid="{00000000-0004-0000-6C00-00000B000000}"/>
    <hyperlink ref="C4" location="'13.3.44'!A1" display="Conexões de tubo (Afastamento)" xr:uid="{00000000-0004-0000-6C00-00000C000000}"/>
    <hyperlink ref="D4" location="'13.3.44'!A1" display="Conexões de tubo (Afastamento)" xr:uid="{00000000-0004-0000-6C00-00000D000000}"/>
    <hyperlink ref="E4" location="'13.3.44'!A1" display="Conexões de tubo (Afastamento)" xr:uid="{00000000-0004-0000-6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50</v>
      </c>
      <c r="B2" s="5" t="s">
        <v>51</v>
      </c>
      <c r="C2" s="5" t="s">
        <v>14</v>
      </c>
      <c r="D2" s="5" t="s">
        <v>52</v>
      </c>
      <c r="E2" s="5" t="s">
        <v>16</v>
      </c>
      <c r="F2" s="5" t="s">
        <v>280</v>
      </c>
      <c r="G2" s="5">
        <v>31.003349711999999</v>
      </c>
      <c r="H2" s="5">
        <v>37.157514629832001</v>
      </c>
      <c r="I2" s="5">
        <v>37.157514629832001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274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SUBTOTAL(109,Criteria_Summary13.3.9[Elementos])</f>
        <v>1</v>
      </c>
      <c r="D9" s="8" t="s">
        <v>246</v>
      </c>
      <c r="E9" s="8">
        <f>SUBTOTAL(109,Criteria_Summary13.3.9[Total])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301</v>
      </c>
      <c r="B24" s="18" t="s">
        <v>301</v>
      </c>
      <c r="C24" s="18" t="s">
        <v>301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>
      <c r="A28" s="8" t="s">
        <v>263</v>
      </c>
      <c r="B28" s="8" t="s">
        <v>271</v>
      </c>
      <c r="C28" s="8" t="s">
        <v>302</v>
      </c>
      <c r="D28" s="8" t="s">
        <v>297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9" xr:uid="{00000000-0004-0000-0A00-000000000000}"/>
    <hyperlink ref="F2" location="'13.3.9E'!A1" display="1" xr:uid="{00000000-0004-0000-0A00-000001000000}"/>
    <hyperlink ref="E10" location="'13.3.9E'!A1" display="'13.3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D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185</v>
      </c>
      <c r="B1" s="20" t="s">
        <v>185</v>
      </c>
      <c r="C1" s="20" t="s">
        <v>185</v>
      </c>
      <c r="D1" s="20" t="s">
        <v>185</v>
      </c>
      <c r="E1" s="20" t="s">
        <v>185</v>
      </c>
    </row>
    <row r="2" spans="1:5">
      <c r="A2" s="20" t="s">
        <v>185</v>
      </c>
      <c r="B2" s="20" t="s">
        <v>185</v>
      </c>
      <c r="C2" s="20" t="s">
        <v>185</v>
      </c>
      <c r="D2" s="20" t="s">
        <v>185</v>
      </c>
      <c r="E2" s="20" t="s">
        <v>185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1549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1550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1551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1552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1553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1554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1555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1556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1557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1558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1559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1560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1561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1562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1563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1564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1565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1566</v>
      </c>
      <c r="E24" s="8">
        <v>1</v>
      </c>
    </row>
    <row r="25" spans="1:5">
      <c r="A25" s="1" t="s">
        <v>246</v>
      </c>
      <c r="B25" s="1" t="s">
        <v>246</v>
      </c>
      <c r="C25" s="1">
        <f>SUBTOTAL(103,Elements13_3_451[Elemento])</f>
        <v>18</v>
      </c>
      <c r="D25" s="1" t="s">
        <v>246</v>
      </c>
      <c r="E25" s="1">
        <f>SUBTOTAL(109,Elements13_3_451[Totais:])</f>
        <v>18</v>
      </c>
    </row>
  </sheetData>
  <mergeCells count="3">
    <mergeCell ref="A1:E2"/>
    <mergeCell ref="A4:E4"/>
    <mergeCell ref="A5:E5"/>
  </mergeCells>
  <hyperlinks>
    <hyperlink ref="A1" location="'13.3.45'!A1" display="JOELHO 90 GRAUS, PVC, SERIE R, ÁGUA PLUVIAL, DN 150 MM, JUNTA ELÁSTICA, FORNECIDO E INSTALADO EM CONDUTORES VERTICAIS DE ÁGUAS PLUVIAIS. AF_06/2022" xr:uid="{00000000-0004-0000-6D00-000000000000}"/>
    <hyperlink ref="B1" location="'13.3.45'!A1" display="JOELHO 90 GRAUS, PVC, SERIE R, ÁGUA PLUVIAL, DN 150 MM, JUNTA ELÁSTICA, FORNECIDO E INSTALADO EM CONDUTORES VERTICAIS DE ÁGUAS PLUVIAIS. AF_06/2022" xr:uid="{00000000-0004-0000-6D00-000001000000}"/>
    <hyperlink ref="C1" location="'13.3.45'!A1" display="JOELHO 90 GRAUS, PVC, SERIE R, ÁGUA PLUVIAL, DN 150 MM, JUNTA ELÁSTICA, FORNECIDO E INSTALADO EM CONDUTORES VERTICAIS DE ÁGUAS PLUVIAIS. AF_06/2022" xr:uid="{00000000-0004-0000-6D00-000002000000}"/>
    <hyperlink ref="D1" location="'13.3.45'!A1" display="JOELHO 90 GRAUS, PVC, SERIE R, ÁGUA PLUVIAL, DN 150 MM, JUNTA ELÁSTICA, FORNECIDO E INSTALADO EM CONDUTORES VERTICAIS DE ÁGUAS PLUVIAIS. AF_06/2022" xr:uid="{00000000-0004-0000-6D00-000003000000}"/>
    <hyperlink ref="E1" location="'13.3.45'!A1" display="JOELHO 90 GRAUS, PVC, SERIE R, ÁGUA PLUVIAL, DN 150 MM, JUNTA ELÁSTICA, FORNECIDO E INSTALADO EM CONDUTORES VERTICAIS DE ÁGUAS PLUVIAIS. AF_06/2022" xr:uid="{00000000-0004-0000-6D00-000004000000}"/>
    <hyperlink ref="A2" location="'13.3.45'!A1" display="JOELHO 90 GRAUS, PVC, SERIE R, ÁGUA PLUVIAL, DN 150 MM, JUNTA ELÁSTICA, FORNECIDO E INSTALADO EM CONDUTORES VERTICAIS DE ÁGUAS PLUVIAIS. AF_06/2022" xr:uid="{00000000-0004-0000-6D00-000005000000}"/>
    <hyperlink ref="B2" location="'13.3.45'!A1" display="JOELHO 90 GRAUS, PVC, SERIE R, ÁGUA PLUVIAL, DN 150 MM, JUNTA ELÁSTICA, FORNECIDO E INSTALADO EM CONDUTORES VERTICAIS DE ÁGUAS PLUVIAIS. AF_06/2022" xr:uid="{00000000-0004-0000-6D00-000006000000}"/>
    <hyperlink ref="C2" location="'13.3.45'!A1" display="JOELHO 90 GRAUS, PVC, SERIE R, ÁGUA PLUVIAL, DN 150 MM, JUNTA ELÁSTICA, FORNECIDO E INSTALADO EM CONDUTORES VERTICAIS DE ÁGUAS PLUVIAIS. AF_06/2022" xr:uid="{00000000-0004-0000-6D00-000007000000}"/>
    <hyperlink ref="D2" location="'13.3.45'!A1" display="JOELHO 90 GRAUS, PVC, SERIE R, ÁGUA PLUVIAL, DN 150 MM, JUNTA ELÁSTICA, FORNECIDO E INSTALADO EM CONDUTORES VERTICAIS DE ÁGUAS PLUVIAIS. AF_06/2022" xr:uid="{00000000-0004-0000-6D00-000008000000}"/>
    <hyperlink ref="E2" location="'13.3.45'!A1" display="JOELHO 90 GRAUS, PVC, SERIE R, ÁGUA PLUVIAL, DN 150 MM, JUNTA ELÁSTICA, FORNECIDO E INSTALADO EM CONDUTORES VERTICAIS DE ÁGUAS PLUVIAIS. AF_06/2022" xr:uid="{00000000-0004-0000-6D00-000009000000}"/>
    <hyperlink ref="A4" location="'13.3.45'!A1" display="Conexões de tubo (Afastamento)" xr:uid="{00000000-0004-0000-6D00-00000A000000}"/>
    <hyperlink ref="B4" location="'13.3.45'!A1" display="Conexões de tubo (Afastamento)" xr:uid="{00000000-0004-0000-6D00-00000B000000}"/>
    <hyperlink ref="C4" location="'13.3.45'!A1" display="Conexões de tubo (Afastamento)" xr:uid="{00000000-0004-0000-6D00-00000C000000}"/>
    <hyperlink ref="D4" location="'13.3.45'!A1" display="Conexões de tubo (Afastamento)" xr:uid="{00000000-0004-0000-6D00-00000D000000}"/>
    <hyperlink ref="E4" location="'13.3.45'!A1" display="Conexões de tubo (Afastamento)" xr:uid="{00000000-0004-0000-6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E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188</v>
      </c>
      <c r="B1" s="20" t="s">
        <v>188</v>
      </c>
      <c r="C1" s="20" t="s">
        <v>188</v>
      </c>
      <c r="D1" s="20" t="s">
        <v>188</v>
      </c>
      <c r="E1" s="20" t="s">
        <v>188</v>
      </c>
    </row>
    <row r="2" spans="1:5">
      <c r="A2" s="20" t="s">
        <v>188</v>
      </c>
      <c r="B2" s="20" t="s">
        <v>188</v>
      </c>
      <c r="C2" s="20" t="s">
        <v>188</v>
      </c>
      <c r="D2" s="20" t="s">
        <v>188</v>
      </c>
      <c r="E2" s="20" t="s">
        <v>188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1567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SUBTOTAL(103,Elements13_3_461[Elemento])</f>
        <v>1</v>
      </c>
      <c r="D8" s="1" t="s">
        <v>246</v>
      </c>
      <c r="E8" s="1">
        <f>SUBTOTAL(109,Elements13_3_461[Totais:])</f>
        <v>1</v>
      </c>
    </row>
  </sheetData>
  <mergeCells count="3">
    <mergeCell ref="A1:E2"/>
    <mergeCell ref="A4:E4"/>
    <mergeCell ref="A5:E5"/>
  </mergeCells>
  <hyperlinks>
    <hyperlink ref="A1" location="'13.3.46'!A1" display="CURVA LONGA, 45 GRAUS, PVC OCRE, JUNTA ELÁSTICA, DN 100 MM, PARA COLETOR PREDIAL DE ESGOTO. AF_06/2022" xr:uid="{00000000-0004-0000-6E00-000000000000}"/>
    <hyperlink ref="B1" location="'13.3.46'!A1" display="CURVA LONGA, 45 GRAUS, PVC OCRE, JUNTA ELÁSTICA, DN 100 MM, PARA COLETOR PREDIAL DE ESGOTO. AF_06/2022" xr:uid="{00000000-0004-0000-6E00-000001000000}"/>
    <hyperlink ref="C1" location="'13.3.46'!A1" display="CURVA LONGA, 45 GRAUS, PVC OCRE, JUNTA ELÁSTICA, DN 100 MM, PARA COLETOR PREDIAL DE ESGOTO. AF_06/2022" xr:uid="{00000000-0004-0000-6E00-000002000000}"/>
    <hyperlink ref="D1" location="'13.3.46'!A1" display="CURVA LONGA, 45 GRAUS, PVC OCRE, JUNTA ELÁSTICA, DN 100 MM, PARA COLETOR PREDIAL DE ESGOTO. AF_06/2022" xr:uid="{00000000-0004-0000-6E00-000003000000}"/>
    <hyperlink ref="E1" location="'13.3.46'!A1" display="CURVA LONGA, 45 GRAUS, PVC OCRE, JUNTA ELÁSTICA, DN 100 MM, PARA COLETOR PREDIAL DE ESGOTO. AF_06/2022" xr:uid="{00000000-0004-0000-6E00-000004000000}"/>
    <hyperlink ref="A2" location="'13.3.46'!A1" display="CURVA LONGA, 45 GRAUS, PVC OCRE, JUNTA ELÁSTICA, DN 100 MM, PARA COLETOR PREDIAL DE ESGOTO. AF_06/2022" xr:uid="{00000000-0004-0000-6E00-000005000000}"/>
    <hyperlink ref="B2" location="'13.3.46'!A1" display="CURVA LONGA, 45 GRAUS, PVC OCRE, JUNTA ELÁSTICA, DN 100 MM, PARA COLETOR PREDIAL DE ESGOTO. AF_06/2022" xr:uid="{00000000-0004-0000-6E00-000006000000}"/>
    <hyperlink ref="C2" location="'13.3.46'!A1" display="CURVA LONGA, 45 GRAUS, PVC OCRE, JUNTA ELÁSTICA, DN 100 MM, PARA COLETOR PREDIAL DE ESGOTO. AF_06/2022" xr:uid="{00000000-0004-0000-6E00-000007000000}"/>
    <hyperlink ref="D2" location="'13.3.46'!A1" display="CURVA LONGA, 45 GRAUS, PVC OCRE, JUNTA ELÁSTICA, DN 100 MM, PARA COLETOR PREDIAL DE ESGOTO. AF_06/2022" xr:uid="{00000000-0004-0000-6E00-000008000000}"/>
    <hyperlink ref="E2" location="'13.3.46'!A1" display="CURVA LONGA, 45 GRAUS, PVC OCRE, JUNTA ELÁSTICA, DN 100 MM, PARA COLETOR PREDIAL DE ESGOTO. AF_06/2022" xr:uid="{00000000-0004-0000-6E00-000009000000}"/>
    <hyperlink ref="A4" location="'13.3.46'!A1" display="Conexões de tubo (Afastamento)" xr:uid="{00000000-0004-0000-6E00-00000A000000}"/>
    <hyperlink ref="B4" location="'13.3.46'!A1" display="Conexões de tubo (Afastamento)" xr:uid="{00000000-0004-0000-6E00-00000B000000}"/>
    <hyperlink ref="C4" location="'13.3.46'!A1" display="Conexões de tubo (Afastamento)" xr:uid="{00000000-0004-0000-6E00-00000C000000}"/>
    <hyperlink ref="D4" location="'13.3.46'!A1" display="Conexões de tubo (Afastamento)" xr:uid="{00000000-0004-0000-6E00-00000D000000}"/>
    <hyperlink ref="E4" location="'13.3.46'!A1" display="Conexões de tubo (Afastamento)" xr:uid="{00000000-0004-0000-6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F00-000000000000}">
  <dimension ref="A1:E8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90</v>
      </c>
      <c r="B1" s="20" t="s">
        <v>90</v>
      </c>
      <c r="C1" s="20" t="s">
        <v>90</v>
      </c>
      <c r="D1" s="20" t="s">
        <v>90</v>
      </c>
      <c r="E1" s="20" t="s">
        <v>90</v>
      </c>
    </row>
    <row r="2" spans="1:5">
      <c r="A2" s="20" t="s">
        <v>90</v>
      </c>
      <c r="B2" s="20" t="s">
        <v>90</v>
      </c>
      <c r="C2" s="20" t="s">
        <v>90</v>
      </c>
      <c r="D2" s="20" t="s">
        <v>90</v>
      </c>
      <c r="E2" s="20" t="s">
        <v>90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824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SUBTOTAL(103,Elements13_3_471[Elemento])</f>
        <v>1</v>
      </c>
      <c r="D8" s="1" t="s">
        <v>246</v>
      </c>
      <c r="E8" s="1">
        <f>SUBTOTAL(109,Elements13_3_471[Totais:])</f>
        <v>1</v>
      </c>
    </row>
  </sheetData>
  <mergeCells count="3">
    <mergeCell ref="A1:E2"/>
    <mergeCell ref="A4:E4"/>
    <mergeCell ref="A5:E5"/>
  </mergeCells>
  <hyperlinks>
    <hyperlink ref="A1" location="'13.3.47'!A1" display="CURVA 45º SOLDAVEL,COM DIAMETRO DE 25MM.FORNECIMENTO" xr:uid="{00000000-0004-0000-6F00-000000000000}"/>
    <hyperlink ref="B1" location="'13.3.47'!A1" display="CURVA 45º SOLDAVEL,COM DIAMETRO DE 25MM.FORNECIMENTO" xr:uid="{00000000-0004-0000-6F00-000001000000}"/>
    <hyperlink ref="C1" location="'13.3.47'!A1" display="CURVA 45º SOLDAVEL,COM DIAMETRO DE 25MM.FORNECIMENTO" xr:uid="{00000000-0004-0000-6F00-000002000000}"/>
    <hyperlink ref="D1" location="'13.3.47'!A1" display="CURVA 45º SOLDAVEL,COM DIAMETRO DE 25MM.FORNECIMENTO" xr:uid="{00000000-0004-0000-6F00-000003000000}"/>
    <hyperlink ref="E1" location="'13.3.47'!A1" display="CURVA 45º SOLDAVEL,COM DIAMETRO DE 25MM.FORNECIMENTO" xr:uid="{00000000-0004-0000-6F00-000004000000}"/>
    <hyperlink ref="A2" location="'13.3.47'!A1" display="CURVA 45º SOLDAVEL,COM DIAMETRO DE 25MM.FORNECIMENTO" xr:uid="{00000000-0004-0000-6F00-000005000000}"/>
    <hyperlink ref="B2" location="'13.3.47'!A1" display="CURVA 45º SOLDAVEL,COM DIAMETRO DE 25MM.FORNECIMENTO" xr:uid="{00000000-0004-0000-6F00-000006000000}"/>
    <hyperlink ref="C2" location="'13.3.47'!A1" display="CURVA 45º SOLDAVEL,COM DIAMETRO DE 25MM.FORNECIMENTO" xr:uid="{00000000-0004-0000-6F00-000007000000}"/>
    <hyperlink ref="D2" location="'13.3.47'!A1" display="CURVA 45º SOLDAVEL,COM DIAMETRO DE 25MM.FORNECIMENTO" xr:uid="{00000000-0004-0000-6F00-000008000000}"/>
    <hyperlink ref="E2" location="'13.3.47'!A1" display="CURVA 45º SOLDAVEL,COM DIAMETRO DE 25MM.FORNECIMENTO" xr:uid="{00000000-0004-0000-6F00-000009000000}"/>
    <hyperlink ref="A4" location="'13.3.47'!A1" display="Conexões de tubo" xr:uid="{00000000-0004-0000-6F00-00000A000000}"/>
    <hyperlink ref="B4" location="'13.3.47'!A1" display="Conexões de tubo" xr:uid="{00000000-0004-0000-6F00-00000B000000}"/>
    <hyperlink ref="C4" location="'13.3.47'!A1" display="Conexões de tubo" xr:uid="{00000000-0004-0000-6F00-00000C000000}"/>
    <hyperlink ref="D4" location="'13.3.47'!A1" display="Conexões de tubo" xr:uid="{00000000-0004-0000-6F00-00000D000000}"/>
    <hyperlink ref="E4" location="'13.3.47'!A1" display="Conexões de tubo" xr:uid="{00000000-0004-0000-6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000-000000000000}">
  <dimension ref="A1:E2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192</v>
      </c>
      <c r="B1" s="20" t="s">
        <v>192</v>
      </c>
      <c r="C1" s="20" t="s">
        <v>192</v>
      </c>
      <c r="D1" s="20" t="s">
        <v>192</v>
      </c>
      <c r="E1" s="20" t="s">
        <v>192</v>
      </c>
    </row>
    <row r="2" spans="1:5">
      <c r="A2" s="20" t="s">
        <v>192</v>
      </c>
      <c r="B2" s="20" t="s">
        <v>192</v>
      </c>
      <c r="C2" s="20" t="s">
        <v>192</v>
      </c>
      <c r="D2" s="20" t="s">
        <v>192</v>
      </c>
      <c r="E2" s="20" t="s">
        <v>192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1568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1569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1570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1571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1572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1573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1574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1575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1576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1577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1578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1579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1580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1581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1582</v>
      </c>
      <c r="E21" s="8">
        <v>1</v>
      </c>
    </row>
    <row r="22" spans="1:5">
      <c r="A22" s="1" t="s">
        <v>246</v>
      </c>
      <c r="B22" s="1" t="s">
        <v>246</v>
      </c>
      <c r="C22" s="1">
        <f>SUBTOTAL(103,Elements13_3_481[Elemento])</f>
        <v>15</v>
      </c>
      <c r="D22" s="1" t="s">
        <v>246</v>
      </c>
      <c r="E22" s="1">
        <f>SUBTOTAL(109,Elements13_3_481[Totais:])</f>
        <v>15</v>
      </c>
    </row>
  </sheetData>
  <mergeCells count="3">
    <mergeCell ref="A1:E2"/>
    <mergeCell ref="A4:E4"/>
    <mergeCell ref="A5:E5"/>
  </mergeCells>
  <hyperlinks>
    <hyperlink ref="A1" location="'13.3.48'!A1" display="CURVA 90º SOLDAVEL,COM DIAMETRO DE 25MM.FORNECIMENTO" xr:uid="{00000000-0004-0000-7000-000000000000}"/>
    <hyperlink ref="B1" location="'13.3.48'!A1" display="CURVA 90º SOLDAVEL,COM DIAMETRO DE 25MM.FORNECIMENTO" xr:uid="{00000000-0004-0000-7000-000001000000}"/>
    <hyperlink ref="C1" location="'13.3.48'!A1" display="CURVA 90º SOLDAVEL,COM DIAMETRO DE 25MM.FORNECIMENTO" xr:uid="{00000000-0004-0000-7000-000002000000}"/>
    <hyperlink ref="D1" location="'13.3.48'!A1" display="CURVA 90º SOLDAVEL,COM DIAMETRO DE 25MM.FORNECIMENTO" xr:uid="{00000000-0004-0000-7000-000003000000}"/>
    <hyperlink ref="E1" location="'13.3.48'!A1" display="CURVA 90º SOLDAVEL,COM DIAMETRO DE 25MM.FORNECIMENTO" xr:uid="{00000000-0004-0000-7000-000004000000}"/>
    <hyperlink ref="A2" location="'13.3.48'!A1" display="CURVA 90º SOLDAVEL,COM DIAMETRO DE 25MM.FORNECIMENTO" xr:uid="{00000000-0004-0000-7000-000005000000}"/>
    <hyperlink ref="B2" location="'13.3.48'!A1" display="CURVA 90º SOLDAVEL,COM DIAMETRO DE 25MM.FORNECIMENTO" xr:uid="{00000000-0004-0000-7000-000006000000}"/>
    <hyperlink ref="C2" location="'13.3.48'!A1" display="CURVA 90º SOLDAVEL,COM DIAMETRO DE 25MM.FORNECIMENTO" xr:uid="{00000000-0004-0000-7000-000007000000}"/>
    <hyperlink ref="D2" location="'13.3.48'!A1" display="CURVA 90º SOLDAVEL,COM DIAMETRO DE 25MM.FORNECIMENTO" xr:uid="{00000000-0004-0000-7000-000008000000}"/>
    <hyperlink ref="E2" location="'13.3.48'!A1" display="CURVA 90º SOLDAVEL,COM DIAMETRO DE 25MM.FORNECIMENTO" xr:uid="{00000000-0004-0000-7000-000009000000}"/>
    <hyperlink ref="A4" location="'13.3.48'!A1" display="Conexões de tubo (Afastamento)" xr:uid="{00000000-0004-0000-7000-00000A000000}"/>
    <hyperlink ref="B4" location="'13.3.48'!A1" display="Conexões de tubo (Afastamento)" xr:uid="{00000000-0004-0000-7000-00000B000000}"/>
    <hyperlink ref="C4" location="'13.3.48'!A1" display="Conexões de tubo (Afastamento)" xr:uid="{00000000-0004-0000-7000-00000C000000}"/>
    <hyperlink ref="D4" location="'13.3.48'!A1" display="Conexões de tubo (Afastamento)" xr:uid="{00000000-0004-0000-7000-00000D000000}"/>
    <hyperlink ref="E4" location="'13.3.48'!A1" display="Conexões de tubo (Afastamento)" xr:uid="{00000000-0004-0000-7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1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195</v>
      </c>
      <c r="B1" s="20" t="s">
        <v>195</v>
      </c>
      <c r="C1" s="20" t="s">
        <v>195</v>
      </c>
      <c r="D1" s="20" t="s">
        <v>195</v>
      </c>
      <c r="E1" s="20" t="s">
        <v>195</v>
      </c>
    </row>
    <row r="2" spans="1:5">
      <c r="A2" s="20" t="s">
        <v>195</v>
      </c>
      <c r="B2" s="20" t="s">
        <v>195</v>
      </c>
      <c r="C2" s="20" t="s">
        <v>195</v>
      </c>
      <c r="D2" s="20" t="s">
        <v>195</v>
      </c>
      <c r="E2" s="20" t="s">
        <v>195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1583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1584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SUBTOTAL(103,Elements13_3_491[Elemento])</f>
        <v>2</v>
      </c>
      <c r="D9" s="1" t="s">
        <v>246</v>
      </c>
      <c r="E9" s="1">
        <f>SUBTOTAL(109,Elements13_3_491[Totais:])</f>
        <v>2</v>
      </c>
    </row>
  </sheetData>
  <mergeCells count="3">
    <mergeCell ref="A1:E2"/>
    <mergeCell ref="A4:E4"/>
    <mergeCell ref="A5:E5"/>
  </mergeCells>
  <hyperlinks>
    <hyperlink ref="A1" location="'13.3.49'!A1" display="JOELHO 45º SOLDAVEL,COM DIAMETRO DE 25MM.FORNECIMENTO" xr:uid="{00000000-0004-0000-7100-000000000000}"/>
    <hyperlink ref="B1" location="'13.3.49'!A1" display="JOELHO 45º SOLDAVEL,COM DIAMETRO DE 25MM.FORNECIMENTO" xr:uid="{00000000-0004-0000-7100-000001000000}"/>
    <hyperlink ref="C1" location="'13.3.49'!A1" display="JOELHO 45º SOLDAVEL,COM DIAMETRO DE 25MM.FORNECIMENTO" xr:uid="{00000000-0004-0000-7100-000002000000}"/>
    <hyperlink ref="D1" location="'13.3.49'!A1" display="JOELHO 45º SOLDAVEL,COM DIAMETRO DE 25MM.FORNECIMENTO" xr:uid="{00000000-0004-0000-7100-000003000000}"/>
    <hyperlink ref="E1" location="'13.3.49'!A1" display="JOELHO 45º SOLDAVEL,COM DIAMETRO DE 25MM.FORNECIMENTO" xr:uid="{00000000-0004-0000-7100-000004000000}"/>
    <hyperlink ref="A2" location="'13.3.49'!A1" display="JOELHO 45º SOLDAVEL,COM DIAMETRO DE 25MM.FORNECIMENTO" xr:uid="{00000000-0004-0000-7100-000005000000}"/>
    <hyperlink ref="B2" location="'13.3.49'!A1" display="JOELHO 45º SOLDAVEL,COM DIAMETRO DE 25MM.FORNECIMENTO" xr:uid="{00000000-0004-0000-7100-000006000000}"/>
    <hyperlink ref="C2" location="'13.3.49'!A1" display="JOELHO 45º SOLDAVEL,COM DIAMETRO DE 25MM.FORNECIMENTO" xr:uid="{00000000-0004-0000-7100-000007000000}"/>
    <hyperlink ref="D2" location="'13.3.49'!A1" display="JOELHO 45º SOLDAVEL,COM DIAMETRO DE 25MM.FORNECIMENTO" xr:uid="{00000000-0004-0000-7100-000008000000}"/>
    <hyperlink ref="E2" location="'13.3.49'!A1" display="JOELHO 45º SOLDAVEL,COM DIAMETRO DE 25MM.FORNECIMENTO" xr:uid="{00000000-0004-0000-7100-000009000000}"/>
    <hyperlink ref="A4" location="'13.3.49'!A1" display="Conexões de tubo (Afastamento)" xr:uid="{00000000-0004-0000-7100-00000A000000}"/>
    <hyperlink ref="B4" location="'13.3.49'!A1" display="Conexões de tubo (Afastamento)" xr:uid="{00000000-0004-0000-7100-00000B000000}"/>
    <hyperlink ref="C4" location="'13.3.49'!A1" display="Conexões de tubo (Afastamento)" xr:uid="{00000000-0004-0000-7100-00000C000000}"/>
    <hyperlink ref="D4" location="'13.3.49'!A1" display="Conexões de tubo (Afastamento)" xr:uid="{00000000-0004-0000-7100-00000D000000}"/>
    <hyperlink ref="E4" location="'13.3.49'!A1" display="Conexões de tubo (Afastamento)" xr:uid="{00000000-0004-0000-7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200-000000000000}">
  <dimension ref="A1:E10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198</v>
      </c>
      <c r="B1" s="20" t="s">
        <v>198</v>
      </c>
      <c r="C1" s="20" t="s">
        <v>198</v>
      </c>
      <c r="D1" s="20" t="s">
        <v>198</v>
      </c>
      <c r="E1" s="20" t="s">
        <v>198</v>
      </c>
    </row>
    <row r="2" spans="1:5">
      <c r="A2" s="20" t="s">
        <v>198</v>
      </c>
      <c r="B2" s="20" t="s">
        <v>198</v>
      </c>
      <c r="C2" s="20" t="s">
        <v>198</v>
      </c>
      <c r="D2" s="20" t="s">
        <v>198</v>
      </c>
      <c r="E2" s="20" t="s">
        <v>198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1585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1586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1587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1588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1589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1590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1591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1592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1593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1594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1595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1596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1597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1598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1599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1600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1601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1602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1603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1604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1605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1606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1607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1608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1609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1610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1611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1612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1613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1614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1615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1616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1617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1618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1619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1620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1621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1622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1623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1624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1625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277</v>
      </c>
      <c r="D48" s="8" t="s">
        <v>1626</v>
      </c>
      <c r="E48" s="8">
        <v>1</v>
      </c>
    </row>
    <row r="49" spans="1:5" ht="24.75">
      <c r="A49" s="8" t="s">
        <v>399</v>
      </c>
      <c r="B49" s="8" t="s">
        <v>253</v>
      </c>
      <c r="C49" s="8" t="s">
        <v>277</v>
      </c>
      <c r="D49" s="8" t="s">
        <v>1627</v>
      </c>
      <c r="E49" s="8">
        <v>1</v>
      </c>
    </row>
    <row r="50" spans="1:5" ht="24.75">
      <c r="A50" s="8" t="s">
        <v>399</v>
      </c>
      <c r="B50" s="8" t="s">
        <v>253</v>
      </c>
      <c r="C50" s="8" t="s">
        <v>277</v>
      </c>
      <c r="D50" s="8" t="s">
        <v>1628</v>
      </c>
      <c r="E50" s="8">
        <v>1</v>
      </c>
    </row>
    <row r="51" spans="1:5" ht="24.75">
      <c r="A51" s="8" t="s">
        <v>399</v>
      </c>
      <c r="B51" s="8" t="s">
        <v>253</v>
      </c>
      <c r="C51" s="8" t="s">
        <v>277</v>
      </c>
      <c r="D51" s="8" t="s">
        <v>1629</v>
      </c>
      <c r="E51" s="8">
        <v>1</v>
      </c>
    </row>
    <row r="52" spans="1:5" ht="24.75">
      <c r="A52" s="8" t="s">
        <v>399</v>
      </c>
      <c r="B52" s="8" t="s">
        <v>253</v>
      </c>
      <c r="C52" s="8" t="s">
        <v>277</v>
      </c>
      <c r="D52" s="8" t="s">
        <v>1630</v>
      </c>
      <c r="E52" s="8">
        <v>1</v>
      </c>
    </row>
    <row r="53" spans="1:5" ht="24.75">
      <c r="A53" s="8" t="s">
        <v>399</v>
      </c>
      <c r="B53" s="8" t="s">
        <v>253</v>
      </c>
      <c r="C53" s="8" t="s">
        <v>277</v>
      </c>
      <c r="D53" s="8" t="s">
        <v>1631</v>
      </c>
      <c r="E53" s="8">
        <v>1</v>
      </c>
    </row>
    <row r="54" spans="1:5" ht="24.75">
      <c r="A54" s="8" t="s">
        <v>399</v>
      </c>
      <c r="B54" s="8" t="s">
        <v>253</v>
      </c>
      <c r="C54" s="8" t="s">
        <v>277</v>
      </c>
      <c r="D54" s="8" t="s">
        <v>1632</v>
      </c>
      <c r="E54" s="8">
        <v>1</v>
      </c>
    </row>
    <row r="55" spans="1:5" ht="24.75">
      <c r="A55" s="8" t="s">
        <v>399</v>
      </c>
      <c r="B55" s="8" t="s">
        <v>253</v>
      </c>
      <c r="C55" s="8" t="s">
        <v>277</v>
      </c>
      <c r="D55" s="8" t="s">
        <v>1633</v>
      </c>
      <c r="E55" s="8">
        <v>1</v>
      </c>
    </row>
    <row r="56" spans="1:5" ht="24.75">
      <c r="A56" s="8" t="s">
        <v>399</v>
      </c>
      <c r="B56" s="8" t="s">
        <v>253</v>
      </c>
      <c r="C56" s="8" t="s">
        <v>277</v>
      </c>
      <c r="D56" s="8" t="s">
        <v>1634</v>
      </c>
      <c r="E56" s="8">
        <v>1</v>
      </c>
    </row>
    <row r="57" spans="1:5" ht="24.75">
      <c r="A57" s="8" t="s">
        <v>399</v>
      </c>
      <c r="B57" s="8" t="s">
        <v>253</v>
      </c>
      <c r="C57" s="8" t="s">
        <v>277</v>
      </c>
      <c r="D57" s="8" t="s">
        <v>1635</v>
      </c>
      <c r="E57" s="8">
        <v>1</v>
      </c>
    </row>
    <row r="58" spans="1:5" ht="24.75">
      <c r="A58" s="8" t="s">
        <v>399</v>
      </c>
      <c r="B58" s="8" t="s">
        <v>253</v>
      </c>
      <c r="C58" s="8" t="s">
        <v>277</v>
      </c>
      <c r="D58" s="8" t="s">
        <v>1636</v>
      </c>
      <c r="E58" s="8">
        <v>1</v>
      </c>
    </row>
    <row r="59" spans="1:5" ht="24.75">
      <c r="A59" s="8" t="s">
        <v>399</v>
      </c>
      <c r="B59" s="8" t="s">
        <v>253</v>
      </c>
      <c r="C59" s="8" t="s">
        <v>277</v>
      </c>
      <c r="D59" s="8" t="s">
        <v>1637</v>
      </c>
      <c r="E59" s="8">
        <v>1</v>
      </c>
    </row>
    <row r="60" spans="1:5" ht="24.75">
      <c r="A60" s="8" t="s">
        <v>399</v>
      </c>
      <c r="B60" s="8" t="s">
        <v>253</v>
      </c>
      <c r="C60" s="8" t="s">
        <v>277</v>
      </c>
      <c r="D60" s="8" t="s">
        <v>1638</v>
      </c>
      <c r="E60" s="8">
        <v>1</v>
      </c>
    </row>
    <row r="61" spans="1:5" ht="24.75">
      <c r="A61" s="8" t="s">
        <v>399</v>
      </c>
      <c r="B61" s="8" t="s">
        <v>253</v>
      </c>
      <c r="C61" s="8" t="s">
        <v>277</v>
      </c>
      <c r="D61" s="8" t="s">
        <v>1639</v>
      </c>
      <c r="E61" s="8">
        <v>1</v>
      </c>
    </row>
    <row r="62" spans="1:5" ht="24.75">
      <c r="A62" s="8" t="s">
        <v>399</v>
      </c>
      <c r="B62" s="8" t="s">
        <v>253</v>
      </c>
      <c r="C62" s="8" t="s">
        <v>277</v>
      </c>
      <c r="D62" s="8" t="s">
        <v>1640</v>
      </c>
      <c r="E62" s="8">
        <v>1</v>
      </c>
    </row>
    <row r="63" spans="1:5" ht="24.75">
      <c r="A63" s="8" t="s">
        <v>399</v>
      </c>
      <c r="B63" s="8" t="s">
        <v>253</v>
      </c>
      <c r="C63" s="8" t="s">
        <v>277</v>
      </c>
      <c r="D63" s="8" t="s">
        <v>1641</v>
      </c>
      <c r="E63" s="8">
        <v>1</v>
      </c>
    </row>
    <row r="64" spans="1:5" ht="24.75">
      <c r="A64" s="8" t="s">
        <v>399</v>
      </c>
      <c r="B64" s="8" t="s">
        <v>253</v>
      </c>
      <c r="C64" s="8" t="s">
        <v>277</v>
      </c>
      <c r="D64" s="8" t="s">
        <v>1642</v>
      </c>
      <c r="E64" s="8">
        <v>1</v>
      </c>
    </row>
    <row r="65" spans="1:5" ht="24.75">
      <c r="A65" s="8" t="s">
        <v>399</v>
      </c>
      <c r="B65" s="8" t="s">
        <v>253</v>
      </c>
      <c r="C65" s="8" t="s">
        <v>277</v>
      </c>
      <c r="D65" s="8" t="s">
        <v>1643</v>
      </c>
      <c r="E65" s="8">
        <v>1</v>
      </c>
    </row>
    <row r="66" spans="1:5" ht="24.75">
      <c r="A66" s="8" t="s">
        <v>399</v>
      </c>
      <c r="B66" s="8" t="s">
        <v>253</v>
      </c>
      <c r="C66" s="8" t="s">
        <v>277</v>
      </c>
      <c r="D66" s="8" t="s">
        <v>1644</v>
      </c>
      <c r="E66" s="8">
        <v>1</v>
      </c>
    </row>
    <row r="67" spans="1:5" ht="24.75">
      <c r="A67" s="8" t="s">
        <v>399</v>
      </c>
      <c r="B67" s="8" t="s">
        <v>253</v>
      </c>
      <c r="C67" s="8" t="s">
        <v>277</v>
      </c>
      <c r="D67" s="8" t="s">
        <v>1645</v>
      </c>
      <c r="E67" s="8">
        <v>1</v>
      </c>
    </row>
    <row r="68" spans="1:5" ht="24.75">
      <c r="A68" s="8" t="s">
        <v>399</v>
      </c>
      <c r="B68" s="8" t="s">
        <v>253</v>
      </c>
      <c r="C68" s="8" t="s">
        <v>277</v>
      </c>
      <c r="D68" s="8" t="s">
        <v>1646</v>
      </c>
      <c r="E68" s="8">
        <v>1</v>
      </c>
    </row>
    <row r="69" spans="1:5" ht="24.75">
      <c r="A69" s="8" t="s">
        <v>399</v>
      </c>
      <c r="B69" s="8" t="s">
        <v>253</v>
      </c>
      <c r="C69" s="8" t="s">
        <v>277</v>
      </c>
      <c r="D69" s="8" t="s">
        <v>1647</v>
      </c>
      <c r="E69" s="8">
        <v>1</v>
      </c>
    </row>
    <row r="70" spans="1:5" ht="24.75">
      <c r="A70" s="8" t="s">
        <v>399</v>
      </c>
      <c r="B70" s="8" t="s">
        <v>253</v>
      </c>
      <c r="C70" s="8" t="s">
        <v>277</v>
      </c>
      <c r="D70" s="8" t="s">
        <v>1648</v>
      </c>
      <c r="E70" s="8">
        <v>1</v>
      </c>
    </row>
    <row r="71" spans="1:5" ht="24.75">
      <c r="A71" s="8" t="s">
        <v>399</v>
      </c>
      <c r="B71" s="8" t="s">
        <v>253</v>
      </c>
      <c r="C71" s="8" t="s">
        <v>277</v>
      </c>
      <c r="D71" s="8" t="s">
        <v>1649</v>
      </c>
      <c r="E71" s="8">
        <v>1</v>
      </c>
    </row>
    <row r="72" spans="1:5" ht="24.75">
      <c r="A72" s="8" t="s">
        <v>399</v>
      </c>
      <c r="B72" s="8" t="s">
        <v>253</v>
      </c>
      <c r="C72" s="8" t="s">
        <v>277</v>
      </c>
      <c r="D72" s="8" t="s">
        <v>1650</v>
      </c>
      <c r="E72" s="8">
        <v>1</v>
      </c>
    </row>
    <row r="73" spans="1:5" ht="24.75">
      <c r="A73" s="8" t="s">
        <v>399</v>
      </c>
      <c r="B73" s="8" t="s">
        <v>253</v>
      </c>
      <c r="C73" s="8" t="s">
        <v>277</v>
      </c>
      <c r="D73" s="8" t="s">
        <v>1651</v>
      </c>
      <c r="E73" s="8">
        <v>1</v>
      </c>
    </row>
    <row r="74" spans="1:5" ht="24.75">
      <c r="A74" s="8" t="s">
        <v>399</v>
      </c>
      <c r="B74" s="8" t="s">
        <v>253</v>
      </c>
      <c r="C74" s="8" t="s">
        <v>277</v>
      </c>
      <c r="D74" s="8" t="s">
        <v>1652</v>
      </c>
      <c r="E74" s="8">
        <v>1</v>
      </c>
    </row>
    <row r="75" spans="1:5" ht="24.75">
      <c r="A75" s="8" t="s">
        <v>399</v>
      </c>
      <c r="B75" s="8" t="s">
        <v>253</v>
      </c>
      <c r="C75" s="8" t="s">
        <v>277</v>
      </c>
      <c r="D75" s="8" t="s">
        <v>1653</v>
      </c>
      <c r="E75" s="8">
        <v>1</v>
      </c>
    </row>
    <row r="76" spans="1:5" ht="24.75">
      <c r="A76" s="8" t="s">
        <v>399</v>
      </c>
      <c r="B76" s="8" t="s">
        <v>253</v>
      </c>
      <c r="C76" s="8" t="s">
        <v>277</v>
      </c>
      <c r="D76" s="8" t="s">
        <v>1654</v>
      </c>
      <c r="E76" s="8">
        <v>1</v>
      </c>
    </row>
    <row r="77" spans="1:5" ht="24.75">
      <c r="A77" s="8" t="s">
        <v>399</v>
      </c>
      <c r="B77" s="8" t="s">
        <v>253</v>
      </c>
      <c r="C77" s="8" t="s">
        <v>277</v>
      </c>
      <c r="D77" s="8" t="s">
        <v>1655</v>
      </c>
      <c r="E77" s="8">
        <v>1</v>
      </c>
    </row>
    <row r="78" spans="1:5" ht="24.75">
      <c r="A78" s="8" t="s">
        <v>399</v>
      </c>
      <c r="B78" s="8" t="s">
        <v>253</v>
      </c>
      <c r="C78" s="8" t="s">
        <v>277</v>
      </c>
      <c r="D78" s="8" t="s">
        <v>1656</v>
      </c>
      <c r="E78" s="8">
        <v>1</v>
      </c>
    </row>
    <row r="79" spans="1:5" ht="24.75">
      <c r="A79" s="8" t="s">
        <v>399</v>
      </c>
      <c r="B79" s="8" t="s">
        <v>253</v>
      </c>
      <c r="C79" s="8" t="s">
        <v>277</v>
      </c>
      <c r="D79" s="8" t="s">
        <v>1657</v>
      </c>
      <c r="E79" s="8">
        <v>1</v>
      </c>
    </row>
    <row r="80" spans="1:5" ht="24.75">
      <c r="A80" s="8" t="s">
        <v>399</v>
      </c>
      <c r="B80" s="8" t="s">
        <v>253</v>
      </c>
      <c r="C80" s="8" t="s">
        <v>277</v>
      </c>
      <c r="D80" s="8" t="s">
        <v>1658</v>
      </c>
      <c r="E80" s="8">
        <v>1</v>
      </c>
    </row>
    <row r="81" spans="1:5" ht="24.75">
      <c r="A81" s="8" t="s">
        <v>399</v>
      </c>
      <c r="B81" s="8" t="s">
        <v>253</v>
      </c>
      <c r="C81" s="8" t="s">
        <v>277</v>
      </c>
      <c r="D81" s="8" t="s">
        <v>1659</v>
      </c>
      <c r="E81" s="8">
        <v>1</v>
      </c>
    </row>
    <row r="82" spans="1:5" ht="24.75">
      <c r="A82" s="8" t="s">
        <v>399</v>
      </c>
      <c r="B82" s="8" t="s">
        <v>253</v>
      </c>
      <c r="C82" s="8" t="s">
        <v>277</v>
      </c>
      <c r="D82" s="8" t="s">
        <v>1660</v>
      </c>
      <c r="E82" s="8">
        <v>1</v>
      </c>
    </row>
    <row r="83" spans="1:5" ht="24.75">
      <c r="A83" s="8" t="s">
        <v>399</v>
      </c>
      <c r="B83" s="8" t="s">
        <v>253</v>
      </c>
      <c r="C83" s="8" t="s">
        <v>277</v>
      </c>
      <c r="D83" s="8" t="s">
        <v>1661</v>
      </c>
      <c r="E83" s="8">
        <v>1</v>
      </c>
    </row>
    <row r="84" spans="1:5" ht="24.75">
      <c r="A84" s="8" t="s">
        <v>399</v>
      </c>
      <c r="B84" s="8" t="s">
        <v>253</v>
      </c>
      <c r="C84" s="8" t="s">
        <v>277</v>
      </c>
      <c r="D84" s="8" t="s">
        <v>1662</v>
      </c>
      <c r="E84" s="8">
        <v>1</v>
      </c>
    </row>
    <row r="85" spans="1:5" ht="24.75">
      <c r="A85" s="8" t="s">
        <v>399</v>
      </c>
      <c r="B85" s="8" t="s">
        <v>253</v>
      </c>
      <c r="C85" s="8" t="s">
        <v>277</v>
      </c>
      <c r="D85" s="8" t="s">
        <v>1663</v>
      </c>
      <c r="E85" s="8">
        <v>1</v>
      </c>
    </row>
    <row r="86" spans="1:5" ht="24.75">
      <c r="A86" s="8" t="s">
        <v>399</v>
      </c>
      <c r="B86" s="8" t="s">
        <v>253</v>
      </c>
      <c r="C86" s="8" t="s">
        <v>277</v>
      </c>
      <c r="D86" s="8" t="s">
        <v>1664</v>
      </c>
      <c r="E86" s="8">
        <v>1</v>
      </c>
    </row>
    <row r="87" spans="1:5" ht="24.75">
      <c r="A87" s="8" t="s">
        <v>399</v>
      </c>
      <c r="B87" s="8" t="s">
        <v>253</v>
      </c>
      <c r="C87" s="8" t="s">
        <v>277</v>
      </c>
      <c r="D87" s="8" t="s">
        <v>1665</v>
      </c>
      <c r="E87" s="8">
        <v>1</v>
      </c>
    </row>
    <row r="88" spans="1:5" ht="24.75">
      <c r="A88" s="8" t="s">
        <v>399</v>
      </c>
      <c r="B88" s="8" t="s">
        <v>253</v>
      </c>
      <c r="C88" s="8" t="s">
        <v>277</v>
      </c>
      <c r="D88" s="8" t="s">
        <v>1666</v>
      </c>
      <c r="E88" s="8">
        <v>1</v>
      </c>
    </row>
    <row r="89" spans="1:5" ht="24.75">
      <c r="A89" s="8" t="s">
        <v>399</v>
      </c>
      <c r="B89" s="8" t="s">
        <v>253</v>
      </c>
      <c r="C89" s="8" t="s">
        <v>277</v>
      </c>
      <c r="D89" s="8" t="s">
        <v>1667</v>
      </c>
      <c r="E89" s="8">
        <v>1</v>
      </c>
    </row>
    <row r="90" spans="1:5" ht="24.75">
      <c r="A90" s="8" t="s">
        <v>399</v>
      </c>
      <c r="B90" s="8" t="s">
        <v>253</v>
      </c>
      <c r="C90" s="8" t="s">
        <v>277</v>
      </c>
      <c r="D90" s="8" t="s">
        <v>1668</v>
      </c>
      <c r="E90" s="8">
        <v>1</v>
      </c>
    </row>
    <row r="91" spans="1:5" ht="24.75">
      <c r="A91" s="8" t="s">
        <v>399</v>
      </c>
      <c r="B91" s="8" t="s">
        <v>253</v>
      </c>
      <c r="C91" s="8" t="s">
        <v>277</v>
      </c>
      <c r="D91" s="8" t="s">
        <v>1669</v>
      </c>
      <c r="E91" s="8">
        <v>1</v>
      </c>
    </row>
    <row r="92" spans="1:5" ht="24.75">
      <c r="A92" s="8" t="s">
        <v>399</v>
      </c>
      <c r="B92" s="8" t="s">
        <v>253</v>
      </c>
      <c r="C92" s="8" t="s">
        <v>277</v>
      </c>
      <c r="D92" s="8" t="s">
        <v>1670</v>
      </c>
      <c r="E92" s="8">
        <v>1</v>
      </c>
    </row>
    <row r="93" spans="1:5" ht="24.75">
      <c r="A93" s="8" t="s">
        <v>399</v>
      </c>
      <c r="B93" s="8" t="s">
        <v>253</v>
      </c>
      <c r="C93" s="8" t="s">
        <v>277</v>
      </c>
      <c r="D93" s="8" t="s">
        <v>1671</v>
      </c>
      <c r="E93" s="8">
        <v>1</v>
      </c>
    </row>
    <row r="94" spans="1:5" ht="24.75">
      <c r="A94" s="8" t="s">
        <v>399</v>
      </c>
      <c r="B94" s="8" t="s">
        <v>253</v>
      </c>
      <c r="C94" s="8" t="s">
        <v>277</v>
      </c>
      <c r="D94" s="8" t="s">
        <v>1672</v>
      </c>
      <c r="E94" s="8">
        <v>1</v>
      </c>
    </row>
    <row r="95" spans="1:5" ht="24.75">
      <c r="A95" s="8" t="s">
        <v>399</v>
      </c>
      <c r="B95" s="8" t="s">
        <v>253</v>
      </c>
      <c r="C95" s="8" t="s">
        <v>277</v>
      </c>
      <c r="D95" s="8" t="s">
        <v>1673</v>
      </c>
      <c r="E95" s="8">
        <v>1</v>
      </c>
    </row>
    <row r="96" spans="1:5" ht="24.75">
      <c r="A96" s="8" t="s">
        <v>399</v>
      </c>
      <c r="B96" s="8" t="s">
        <v>253</v>
      </c>
      <c r="C96" s="8" t="s">
        <v>277</v>
      </c>
      <c r="D96" s="8" t="s">
        <v>1674</v>
      </c>
      <c r="E96" s="8">
        <v>1</v>
      </c>
    </row>
    <row r="97" spans="1:5" ht="24.75">
      <c r="A97" s="8" t="s">
        <v>399</v>
      </c>
      <c r="B97" s="8" t="s">
        <v>253</v>
      </c>
      <c r="C97" s="8" t="s">
        <v>277</v>
      </c>
      <c r="D97" s="8" t="s">
        <v>1675</v>
      </c>
      <c r="E97" s="8">
        <v>1</v>
      </c>
    </row>
    <row r="98" spans="1:5" ht="24.75">
      <c r="A98" s="8" t="s">
        <v>399</v>
      </c>
      <c r="B98" s="8" t="s">
        <v>253</v>
      </c>
      <c r="C98" s="8" t="s">
        <v>277</v>
      </c>
      <c r="D98" s="8" t="s">
        <v>1676</v>
      </c>
      <c r="E98" s="8">
        <v>1</v>
      </c>
    </row>
    <row r="99" spans="1:5" ht="24.75">
      <c r="A99" s="8" t="s">
        <v>399</v>
      </c>
      <c r="B99" s="8" t="s">
        <v>253</v>
      </c>
      <c r="C99" s="8" t="s">
        <v>277</v>
      </c>
      <c r="D99" s="8" t="s">
        <v>1677</v>
      </c>
      <c r="E99" s="8">
        <v>1</v>
      </c>
    </row>
    <row r="100" spans="1:5" ht="24.75">
      <c r="A100" s="8" t="s">
        <v>399</v>
      </c>
      <c r="B100" s="8" t="s">
        <v>253</v>
      </c>
      <c r="C100" s="8" t="s">
        <v>277</v>
      </c>
      <c r="D100" s="8" t="s">
        <v>1678</v>
      </c>
      <c r="E100" s="8">
        <v>1</v>
      </c>
    </row>
    <row r="101" spans="1:5" ht="24.75">
      <c r="A101" s="8" t="s">
        <v>399</v>
      </c>
      <c r="B101" s="8" t="s">
        <v>253</v>
      </c>
      <c r="C101" s="8" t="s">
        <v>277</v>
      </c>
      <c r="D101" s="8" t="s">
        <v>1679</v>
      </c>
      <c r="E101" s="8">
        <v>1</v>
      </c>
    </row>
    <row r="102" spans="1:5" ht="24.75">
      <c r="A102" s="8" t="s">
        <v>399</v>
      </c>
      <c r="B102" s="8" t="s">
        <v>253</v>
      </c>
      <c r="C102" s="8" t="s">
        <v>277</v>
      </c>
      <c r="D102" s="8" t="s">
        <v>1680</v>
      </c>
      <c r="E102" s="8">
        <v>1</v>
      </c>
    </row>
    <row r="103" spans="1:5" ht="24.75">
      <c r="A103" s="8" t="s">
        <v>399</v>
      </c>
      <c r="B103" s="8" t="s">
        <v>253</v>
      </c>
      <c r="C103" s="8" t="s">
        <v>277</v>
      </c>
      <c r="D103" s="8" t="s">
        <v>1681</v>
      </c>
      <c r="E103" s="8">
        <v>1</v>
      </c>
    </row>
    <row r="104" spans="1:5" ht="24.75">
      <c r="A104" s="8" t="s">
        <v>399</v>
      </c>
      <c r="B104" s="8" t="s">
        <v>253</v>
      </c>
      <c r="C104" s="8" t="s">
        <v>277</v>
      </c>
      <c r="D104" s="8" t="s">
        <v>1682</v>
      </c>
      <c r="E104" s="8">
        <v>1</v>
      </c>
    </row>
    <row r="105" spans="1:5" ht="24.75">
      <c r="A105" s="8" t="s">
        <v>399</v>
      </c>
      <c r="B105" s="8" t="s">
        <v>253</v>
      </c>
      <c r="C105" s="8" t="s">
        <v>277</v>
      </c>
      <c r="D105" s="8" t="s">
        <v>1683</v>
      </c>
      <c r="E105" s="8">
        <v>1</v>
      </c>
    </row>
    <row r="106" spans="1:5" ht="24.75">
      <c r="A106" s="8" t="s">
        <v>399</v>
      </c>
      <c r="B106" s="8" t="s">
        <v>253</v>
      </c>
      <c r="C106" s="8" t="s">
        <v>277</v>
      </c>
      <c r="D106" s="8" t="s">
        <v>1684</v>
      </c>
      <c r="E106" s="8">
        <v>1</v>
      </c>
    </row>
    <row r="107" spans="1:5" ht="24.75">
      <c r="A107" s="8" t="s">
        <v>399</v>
      </c>
      <c r="B107" s="8" t="s">
        <v>253</v>
      </c>
      <c r="C107" s="8" t="s">
        <v>277</v>
      </c>
      <c r="D107" s="8" t="s">
        <v>1685</v>
      </c>
      <c r="E107" s="8">
        <v>1</v>
      </c>
    </row>
    <row r="108" spans="1:5" ht="24.75">
      <c r="A108" s="8" t="s">
        <v>399</v>
      </c>
      <c r="B108" s="8" t="s">
        <v>253</v>
      </c>
      <c r="C108" s="8" t="s">
        <v>277</v>
      </c>
      <c r="D108" s="8" t="s">
        <v>1686</v>
      </c>
      <c r="E108" s="8">
        <v>1</v>
      </c>
    </row>
    <row r="109" spans="1:5">
      <c r="A109" s="1" t="s">
        <v>246</v>
      </c>
      <c r="B109" s="1" t="s">
        <v>246</v>
      </c>
      <c r="C109" s="1">
        <f>SUBTOTAL(103,Elements13_3_501[Elemento])</f>
        <v>102</v>
      </c>
      <c r="D109" s="1" t="s">
        <v>246</v>
      </c>
      <c r="E109" s="1">
        <f>SUBTOTAL(109,Elements13_3_501[Totais:])</f>
        <v>102</v>
      </c>
    </row>
  </sheetData>
  <mergeCells count="3">
    <mergeCell ref="A1:E2"/>
    <mergeCell ref="A4:E4"/>
    <mergeCell ref="A5:E5"/>
  </mergeCells>
  <hyperlinks>
    <hyperlink ref="A1" location="'13.3.50'!A1" display="JOELHO 90º SOLDAVEL,COM DIAMETRO DE 25MM.FORNECIMENTO" xr:uid="{00000000-0004-0000-7200-000000000000}"/>
    <hyperlink ref="B1" location="'13.3.50'!A1" display="JOELHO 90º SOLDAVEL,COM DIAMETRO DE 25MM.FORNECIMENTO" xr:uid="{00000000-0004-0000-7200-000001000000}"/>
    <hyperlink ref="C1" location="'13.3.50'!A1" display="JOELHO 90º SOLDAVEL,COM DIAMETRO DE 25MM.FORNECIMENTO" xr:uid="{00000000-0004-0000-7200-000002000000}"/>
    <hyperlink ref="D1" location="'13.3.50'!A1" display="JOELHO 90º SOLDAVEL,COM DIAMETRO DE 25MM.FORNECIMENTO" xr:uid="{00000000-0004-0000-7200-000003000000}"/>
    <hyperlink ref="E1" location="'13.3.50'!A1" display="JOELHO 90º SOLDAVEL,COM DIAMETRO DE 25MM.FORNECIMENTO" xr:uid="{00000000-0004-0000-7200-000004000000}"/>
    <hyperlink ref="A2" location="'13.3.50'!A1" display="JOELHO 90º SOLDAVEL,COM DIAMETRO DE 25MM.FORNECIMENTO" xr:uid="{00000000-0004-0000-7200-000005000000}"/>
    <hyperlink ref="B2" location="'13.3.50'!A1" display="JOELHO 90º SOLDAVEL,COM DIAMETRO DE 25MM.FORNECIMENTO" xr:uid="{00000000-0004-0000-7200-000006000000}"/>
    <hyperlink ref="C2" location="'13.3.50'!A1" display="JOELHO 90º SOLDAVEL,COM DIAMETRO DE 25MM.FORNECIMENTO" xr:uid="{00000000-0004-0000-7200-000007000000}"/>
    <hyperlink ref="D2" location="'13.3.50'!A1" display="JOELHO 90º SOLDAVEL,COM DIAMETRO DE 25MM.FORNECIMENTO" xr:uid="{00000000-0004-0000-7200-000008000000}"/>
    <hyperlink ref="E2" location="'13.3.50'!A1" display="JOELHO 90º SOLDAVEL,COM DIAMETRO DE 25MM.FORNECIMENTO" xr:uid="{00000000-0004-0000-7200-000009000000}"/>
    <hyperlink ref="A4" location="'13.3.50'!A1" display="Conexões de tubo (Afastamento)" xr:uid="{00000000-0004-0000-7200-00000A000000}"/>
    <hyperlink ref="B4" location="'13.3.50'!A1" display="Conexões de tubo (Afastamento)" xr:uid="{00000000-0004-0000-7200-00000B000000}"/>
    <hyperlink ref="C4" location="'13.3.50'!A1" display="Conexões de tubo (Afastamento)" xr:uid="{00000000-0004-0000-7200-00000C000000}"/>
    <hyperlink ref="D4" location="'13.3.50'!A1" display="Conexões de tubo (Afastamento)" xr:uid="{00000000-0004-0000-7200-00000D000000}"/>
    <hyperlink ref="E4" location="'13.3.50'!A1" display="Conexões de tubo (Afastamento)" xr:uid="{00000000-0004-0000-7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300-000000000000}">
  <dimension ref="A1:E3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106</v>
      </c>
      <c r="B1" s="20" t="s">
        <v>106</v>
      </c>
      <c r="C1" s="20" t="s">
        <v>106</v>
      </c>
      <c r="D1" s="20" t="s">
        <v>106</v>
      </c>
      <c r="E1" s="20" t="s">
        <v>106</v>
      </c>
    </row>
    <row r="2" spans="1:5">
      <c r="A2" s="20" t="s">
        <v>106</v>
      </c>
      <c r="B2" s="20" t="s">
        <v>106</v>
      </c>
      <c r="C2" s="20" t="s">
        <v>106</v>
      </c>
      <c r="D2" s="20" t="s">
        <v>106</v>
      </c>
      <c r="E2" s="20" t="s">
        <v>106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876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877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878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879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880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881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882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883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884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885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886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887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888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889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890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891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892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893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894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895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896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897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898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899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900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901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902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903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904</v>
      </c>
      <c r="E35" s="8">
        <v>1</v>
      </c>
    </row>
    <row r="36" spans="1:5">
      <c r="A36" s="1" t="s">
        <v>246</v>
      </c>
      <c r="B36" s="1" t="s">
        <v>246</v>
      </c>
      <c r="C36" s="1">
        <f>SUBTOTAL(103,Elements13_3_511[Elemento])</f>
        <v>29</v>
      </c>
      <c r="D36" s="1" t="s">
        <v>246</v>
      </c>
      <c r="E36" s="1">
        <f>SUBTOTAL(109,Elements13_3_511[Totais:])</f>
        <v>29</v>
      </c>
    </row>
  </sheetData>
  <mergeCells count="3">
    <mergeCell ref="A1:E2"/>
    <mergeCell ref="A4:E4"/>
    <mergeCell ref="A5:E5"/>
  </mergeCells>
  <hyperlinks>
    <hyperlink ref="A1" location="'13.3.51'!A1" display="LUVA DE REDUÇÃO, PVC, SOLDÁVEL, DN 32MM X 25MM, INSTALADO EM RAMAL OU SUB-RAMAL DE ÁGUA - FORNECIMENTO E INSTALAÇÃO. AF_06/2022" xr:uid="{00000000-0004-0000-7300-000000000000}"/>
    <hyperlink ref="B1" location="'13.3.51'!A1" display="LUVA DE REDUÇÃO, PVC, SOLDÁVEL, DN 32MM X 25MM, INSTALADO EM RAMAL OU SUB-RAMAL DE ÁGUA - FORNECIMENTO E INSTALAÇÃO. AF_06/2022" xr:uid="{00000000-0004-0000-7300-000001000000}"/>
    <hyperlink ref="C1" location="'13.3.51'!A1" display="LUVA DE REDUÇÃO, PVC, SOLDÁVEL, DN 32MM X 25MM, INSTALADO EM RAMAL OU SUB-RAMAL DE ÁGUA - FORNECIMENTO E INSTALAÇÃO. AF_06/2022" xr:uid="{00000000-0004-0000-7300-000002000000}"/>
    <hyperlink ref="D1" location="'13.3.51'!A1" display="LUVA DE REDUÇÃO, PVC, SOLDÁVEL, DN 32MM X 25MM, INSTALADO EM RAMAL OU SUB-RAMAL DE ÁGUA - FORNECIMENTO E INSTALAÇÃO. AF_06/2022" xr:uid="{00000000-0004-0000-7300-000003000000}"/>
    <hyperlink ref="E1" location="'13.3.51'!A1" display="LUVA DE REDUÇÃO, PVC, SOLDÁVEL, DN 32MM X 25MM, INSTALADO EM RAMAL OU SUB-RAMAL DE ÁGUA - FORNECIMENTO E INSTALAÇÃO. AF_06/2022" xr:uid="{00000000-0004-0000-7300-000004000000}"/>
    <hyperlink ref="A2" location="'13.3.51'!A1" display="LUVA DE REDUÇÃO, PVC, SOLDÁVEL, DN 32MM X 25MM, INSTALADO EM RAMAL OU SUB-RAMAL DE ÁGUA - FORNECIMENTO E INSTALAÇÃO. AF_06/2022" xr:uid="{00000000-0004-0000-7300-000005000000}"/>
    <hyperlink ref="B2" location="'13.3.51'!A1" display="LUVA DE REDUÇÃO, PVC, SOLDÁVEL, DN 32MM X 25MM, INSTALADO EM RAMAL OU SUB-RAMAL DE ÁGUA - FORNECIMENTO E INSTALAÇÃO. AF_06/2022" xr:uid="{00000000-0004-0000-7300-000006000000}"/>
    <hyperlink ref="C2" location="'13.3.51'!A1" display="LUVA DE REDUÇÃO, PVC, SOLDÁVEL, DN 32MM X 25MM, INSTALADO EM RAMAL OU SUB-RAMAL DE ÁGUA - FORNECIMENTO E INSTALAÇÃO. AF_06/2022" xr:uid="{00000000-0004-0000-7300-000007000000}"/>
    <hyperlink ref="D2" location="'13.3.51'!A1" display="LUVA DE REDUÇÃO, PVC, SOLDÁVEL, DN 32MM X 25MM, INSTALADO EM RAMAL OU SUB-RAMAL DE ÁGUA - FORNECIMENTO E INSTALAÇÃO. AF_06/2022" xr:uid="{00000000-0004-0000-7300-000008000000}"/>
    <hyperlink ref="E2" location="'13.3.51'!A1" display="LUVA DE REDUÇÃO, PVC, SOLDÁVEL, DN 32MM X 25MM, INSTALADO EM RAMAL OU SUB-RAMAL DE ÁGUA - FORNECIMENTO E INSTALAÇÃO. AF_06/2022" xr:uid="{00000000-0004-0000-7300-000009000000}"/>
    <hyperlink ref="A4" location="'13.3.51'!A1" display="Conexões de tubo (Afastamento)" xr:uid="{00000000-0004-0000-7300-00000A000000}"/>
    <hyperlink ref="B4" location="'13.3.51'!A1" display="Conexões de tubo (Afastamento)" xr:uid="{00000000-0004-0000-7300-00000B000000}"/>
    <hyperlink ref="C4" location="'13.3.51'!A1" display="Conexões de tubo (Afastamento)" xr:uid="{00000000-0004-0000-7300-00000C000000}"/>
    <hyperlink ref="D4" location="'13.3.51'!A1" display="Conexões de tubo (Afastamento)" xr:uid="{00000000-0004-0000-7300-00000D000000}"/>
    <hyperlink ref="E4" location="'13.3.51'!A1" display="Conexões de tubo (Afastamento)" xr:uid="{00000000-0004-0000-7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400-000000000000}">
  <dimension ref="A1:E2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203</v>
      </c>
      <c r="B1" s="20" t="s">
        <v>203</v>
      </c>
      <c r="C1" s="20" t="s">
        <v>203</v>
      </c>
      <c r="D1" s="20" t="s">
        <v>203</v>
      </c>
      <c r="E1" s="20" t="s">
        <v>203</v>
      </c>
    </row>
    <row r="2" spans="1:5">
      <c r="A2" s="20" t="s">
        <v>203</v>
      </c>
      <c r="B2" s="20" t="s">
        <v>203</v>
      </c>
      <c r="C2" s="20" t="s">
        <v>203</v>
      </c>
      <c r="D2" s="20" t="s">
        <v>203</v>
      </c>
      <c r="E2" s="20" t="s">
        <v>203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905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906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907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908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909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910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911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912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913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914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915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916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917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918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919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920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921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922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923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924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925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926</v>
      </c>
      <c r="E28" s="8">
        <v>1</v>
      </c>
    </row>
    <row r="29" spans="1:5">
      <c r="A29" s="1" t="s">
        <v>246</v>
      </c>
      <c r="B29" s="1" t="s">
        <v>246</v>
      </c>
      <c r="C29" s="1">
        <f>SUBTOTAL(103,Elements13_3_521[Elemento])</f>
        <v>22</v>
      </c>
      <c r="D29" s="1" t="s">
        <v>246</v>
      </c>
      <c r="E29" s="1">
        <f>SUBTOTAL(109,Elements13_3_521[Totais:])</f>
        <v>22</v>
      </c>
    </row>
  </sheetData>
  <mergeCells count="3">
    <mergeCell ref="A1:E2"/>
    <mergeCell ref="A4:E4"/>
    <mergeCell ref="A5:E5"/>
  </mergeCells>
  <hyperlinks>
    <hyperlink ref="A1" location="'13.3.52'!A1" display="TE SOLDAVEL 90º,COM DIAMETRO DE 25MM.FORNECIMENTO" xr:uid="{00000000-0004-0000-7400-000000000000}"/>
    <hyperlink ref="B1" location="'13.3.52'!A1" display="TE SOLDAVEL 90º,COM DIAMETRO DE 25MM.FORNECIMENTO" xr:uid="{00000000-0004-0000-7400-000001000000}"/>
    <hyperlink ref="C1" location="'13.3.52'!A1" display="TE SOLDAVEL 90º,COM DIAMETRO DE 25MM.FORNECIMENTO" xr:uid="{00000000-0004-0000-7400-000002000000}"/>
    <hyperlink ref="D1" location="'13.3.52'!A1" display="TE SOLDAVEL 90º,COM DIAMETRO DE 25MM.FORNECIMENTO" xr:uid="{00000000-0004-0000-7400-000003000000}"/>
    <hyperlink ref="E1" location="'13.3.52'!A1" display="TE SOLDAVEL 90º,COM DIAMETRO DE 25MM.FORNECIMENTO" xr:uid="{00000000-0004-0000-7400-000004000000}"/>
    <hyperlink ref="A2" location="'13.3.52'!A1" display="TE SOLDAVEL 90º,COM DIAMETRO DE 25MM.FORNECIMENTO" xr:uid="{00000000-0004-0000-7400-000005000000}"/>
    <hyperlink ref="B2" location="'13.3.52'!A1" display="TE SOLDAVEL 90º,COM DIAMETRO DE 25MM.FORNECIMENTO" xr:uid="{00000000-0004-0000-7400-000006000000}"/>
    <hyperlink ref="C2" location="'13.3.52'!A1" display="TE SOLDAVEL 90º,COM DIAMETRO DE 25MM.FORNECIMENTO" xr:uid="{00000000-0004-0000-7400-000007000000}"/>
    <hyperlink ref="D2" location="'13.3.52'!A1" display="TE SOLDAVEL 90º,COM DIAMETRO DE 25MM.FORNECIMENTO" xr:uid="{00000000-0004-0000-7400-000008000000}"/>
    <hyperlink ref="E2" location="'13.3.52'!A1" display="TE SOLDAVEL 90º,COM DIAMETRO DE 25MM.FORNECIMENTO" xr:uid="{00000000-0004-0000-7400-000009000000}"/>
    <hyperlink ref="A4" location="'13.3.52'!A1" display="Conexões de tubo (Afastamento)" xr:uid="{00000000-0004-0000-7400-00000A000000}"/>
    <hyperlink ref="B4" location="'13.3.52'!A1" display="Conexões de tubo (Afastamento)" xr:uid="{00000000-0004-0000-7400-00000B000000}"/>
    <hyperlink ref="C4" location="'13.3.52'!A1" display="Conexões de tubo (Afastamento)" xr:uid="{00000000-0004-0000-7400-00000C000000}"/>
    <hyperlink ref="D4" location="'13.3.52'!A1" display="Conexões de tubo (Afastamento)" xr:uid="{00000000-0004-0000-7400-00000D000000}"/>
    <hyperlink ref="E4" location="'13.3.52'!A1" display="Conexões de tubo (Afastamento)" xr:uid="{00000000-0004-0000-7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5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206</v>
      </c>
      <c r="B1" s="20" t="s">
        <v>206</v>
      </c>
      <c r="C1" s="20" t="s">
        <v>206</v>
      </c>
      <c r="D1" s="20" t="s">
        <v>206</v>
      </c>
      <c r="E1" s="20" t="s">
        <v>206</v>
      </c>
    </row>
    <row r="2" spans="1:5">
      <c r="A2" s="20" t="s">
        <v>206</v>
      </c>
      <c r="B2" s="20" t="s">
        <v>206</v>
      </c>
      <c r="C2" s="20" t="s">
        <v>206</v>
      </c>
      <c r="D2" s="20" t="s">
        <v>206</v>
      </c>
      <c r="E2" s="20" t="s">
        <v>206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365</v>
      </c>
      <c r="D7" s="8" t="s">
        <v>1687</v>
      </c>
      <c r="E7" s="8">
        <v>4.7397436230623162</v>
      </c>
    </row>
    <row r="8" spans="1:5" ht="24.75">
      <c r="A8" s="8" t="s">
        <v>399</v>
      </c>
      <c r="B8" s="8" t="s">
        <v>253</v>
      </c>
      <c r="C8" s="8" t="s">
        <v>365</v>
      </c>
      <c r="D8" s="8" t="s">
        <v>1688</v>
      </c>
      <c r="E8" s="8">
        <v>4.4529956725323707</v>
      </c>
    </row>
    <row r="9" spans="1:5" ht="24.75">
      <c r="A9" s="8" t="s">
        <v>399</v>
      </c>
      <c r="B9" s="8" t="s">
        <v>253</v>
      </c>
      <c r="C9" s="8" t="s">
        <v>365</v>
      </c>
      <c r="D9" s="8" t="s">
        <v>1689</v>
      </c>
      <c r="E9" s="8">
        <v>4.3460054379059558</v>
      </c>
    </row>
    <row r="10" spans="1:5" ht="24.75">
      <c r="A10" s="8" t="s">
        <v>399</v>
      </c>
      <c r="B10" s="8" t="s">
        <v>253</v>
      </c>
      <c r="C10" s="8" t="s">
        <v>365</v>
      </c>
      <c r="D10" s="8" t="s">
        <v>1690</v>
      </c>
      <c r="E10" s="8">
        <v>4.173548495804253</v>
      </c>
    </row>
    <row r="11" spans="1:5">
      <c r="A11" s="1" t="s">
        <v>246</v>
      </c>
      <c r="B11" s="1" t="s">
        <v>246</v>
      </c>
      <c r="C11" s="1">
        <f>SUBTOTAL(103,Elements13_3_531[Elemento])</f>
        <v>4</v>
      </c>
      <c r="D11" s="1" t="s">
        <v>246</v>
      </c>
      <c r="E11" s="1">
        <f>SUBTOTAL(109,Elements13_3_531[Totais:])</f>
        <v>17.712293229304898</v>
      </c>
    </row>
  </sheetData>
  <mergeCells count="3">
    <mergeCell ref="A1:E2"/>
    <mergeCell ref="A4:E4"/>
    <mergeCell ref="A5:E5"/>
  </mergeCells>
  <hyperlinks>
    <hyperlink ref="A1" location="'13.3.53'!A1" display="TUBO DE PVC PARA REDE COLETORA DE ESGOTO DE PAREDE MACIÇA, DN 200 MM, JUNTA ELÁSTICA - FORNECIMENTO E ASSENTAMENTO. AF_01/2021" xr:uid="{00000000-0004-0000-7500-000000000000}"/>
    <hyperlink ref="B1" location="'13.3.53'!A1" display="TUBO DE PVC PARA REDE COLETORA DE ESGOTO DE PAREDE MACIÇA, DN 200 MM, JUNTA ELÁSTICA - FORNECIMENTO E ASSENTAMENTO. AF_01/2021" xr:uid="{00000000-0004-0000-7500-000001000000}"/>
    <hyperlink ref="C1" location="'13.3.53'!A1" display="TUBO DE PVC PARA REDE COLETORA DE ESGOTO DE PAREDE MACIÇA, DN 200 MM, JUNTA ELÁSTICA - FORNECIMENTO E ASSENTAMENTO. AF_01/2021" xr:uid="{00000000-0004-0000-7500-000002000000}"/>
    <hyperlink ref="D1" location="'13.3.53'!A1" display="TUBO DE PVC PARA REDE COLETORA DE ESGOTO DE PAREDE MACIÇA, DN 200 MM, JUNTA ELÁSTICA - FORNECIMENTO E ASSENTAMENTO. AF_01/2021" xr:uid="{00000000-0004-0000-7500-000003000000}"/>
    <hyperlink ref="E1" location="'13.3.53'!A1" display="TUBO DE PVC PARA REDE COLETORA DE ESGOTO DE PAREDE MACIÇA, DN 200 MM, JUNTA ELÁSTICA - FORNECIMENTO E ASSENTAMENTO. AF_01/2021" xr:uid="{00000000-0004-0000-7500-000004000000}"/>
    <hyperlink ref="A2" location="'13.3.53'!A1" display="TUBO DE PVC PARA REDE COLETORA DE ESGOTO DE PAREDE MACIÇA, DN 200 MM, JUNTA ELÁSTICA - FORNECIMENTO E ASSENTAMENTO. AF_01/2021" xr:uid="{00000000-0004-0000-7500-000005000000}"/>
    <hyperlink ref="B2" location="'13.3.53'!A1" display="TUBO DE PVC PARA REDE COLETORA DE ESGOTO DE PAREDE MACIÇA, DN 200 MM, JUNTA ELÁSTICA - FORNECIMENTO E ASSENTAMENTO. AF_01/2021" xr:uid="{00000000-0004-0000-7500-000006000000}"/>
    <hyperlink ref="C2" location="'13.3.53'!A1" display="TUBO DE PVC PARA REDE COLETORA DE ESGOTO DE PAREDE MACIÇA, DN 200 MM, JUNTA ELÁSTICA - FORNECIMENTO E ASSENTAMENTO. AF_01/2021" xr:uid="{00000000-0004-0000-7500-000007000000}"/>
    <hyperlink ref="D2" location="'13.3.53'!A1" display="TUBO DE PVC PARA REDE COLETORA DE ESGOTO DE PAREDE MACIÇA, DN 200 MM, JUNTA ELÁSTICA - FORNECIMENTO E ASSENTAMENTO. AF_01/2021" xr:uid="{00000000-0004-0000-7500-000008000000}"/>
    <hyperlink ref="E2" location="'13.3.53'!A1" display="TUBO DE PVC PARA REDE COLETORA DE ESGOTO DE PAREDE MACIÇA, DN 200 MM, JUNTA ELÁSTICA - FORNECIMENTO E ASSENTAMENTO. AF_01/2021" xr:uid="{00000000-0004-0000-7500-000009000000}"/>
    <hyperlink ref="A4" location="'13.3.53'!A1" display="Tubulação (Comprimento)" xr:uid="{00000000-0004-0000-7500-00000A000000}"/>
    <hyperlink ref="B4" location="'13.3.53'!A1" display="Tubulação (Comprimento)" xr:uid="{00000000-0004-0000-7500-00000B000000}"/>
    <hyperlink ref="C4" location="'13.3.53'!A1" display="Tubulação (Comprimento)" xr:uid="{00000000-0004-0000-7500-00000C000000}"/>
    <hyperlink ref="D4" location="'13.3.53'!A1" display="Tubulação (Comprimento)" xr:uid="{00000000-0004-0000-7500-00000D000000}"/>
    <hyperlink ref="E4" location="'13.3.53'!A1" display="Tubulação (Comprimento)" xr:uid="{00000000-0004-0000-7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600-000000000000}">
  <dimension ref="A1:E4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210</v>
      </c>
      <c r="B1" s="20" t="s">
        <v>210</v>
      </c>
      <c r="C1" s="20" t="s">
        <v>210</v>
      </c>
      <c r="D1" s="20" t="s">
        <v>210</v>
      </c>
      <c r="E1" s="20" t="s">
        <v>210</v>
      </c>
    </row>
    <row r="2" spans="1:5">
      <c r="A2" s="20" t="s">
        <v>210</v>
      </c>
      <c r="B2" s="20" t="s">
        <v>210</v>
      </c>
      <c r="C2" s="20" t="s">
        <v>210</v>
      </c>
      <c r="D2" s="20" t="s">
        <v>210</v>
      </c>
      <c r="E2" s="20" t="s">
        <v>210</v>
      </c>
    </row>
    <row r="4" spans="1:5">
      <c r="A4" s="15" t="s">
        <v>298</v>
      </c>
      <c r="B4" s="15" t="s">
        <v>298</v>
      </c>
      <c r="C4" s="15" t="s">
        <v>298</v>
      </c>
      <c r="D4" s="15" t="s">
        <v>298</v>
      </c>
      <c r="E4" s="15" t="s">
        <v>298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381</v>
      </c>
      <c r="D7" s="8" t="s">
        <v>1691</v>
      </c>
      <c r="E7" s="8">
        <v>0.59787838667273863</v>
      </c>
    </row>
    <row r="8" spans="1:5" ht="24.75">
      <c r="A8" s="8" t="s">
        <v>399</v>
      </c>
      <c r="B8" s="8" t="s">
        <v>253</v>
      </c>
      <c r="C8" s="8" t="s">
        <v>381</v>
      </c>
      <c r="D8" s="8" t="s">
        <v>1692</v>
      </c>
      <c r="E8" s="8">
        <v>0.28199999999999903</v>
      </c>
    </row>
    <row r="9" spans="1:5" ht="24.75">
      <c r="A9" s="8" t="s">
        <v>399</v>
      </c>
      <c r="B9" s="8" t="s">
        <v>253</v>
      </c>
      <c r="C9" s="8" t="s">
        <v>381</v>
      </c>
      <c r="D9" s="8" t="s">
        <v>1693</v>
      </c>
      <c r="E9" s="8">
        <v>0.2019487569608463</v>
      </c>
    </row>
    <row r="10" spans="1:5" ht="24.75">
      <c r="A10" s="8" t="s">
        <v>399</v>
      </c>
      <c r="B10" s="8" t="s">
        <v>253</v>
      </c>
      <c r="C10" s="8" t="s">
        <v>381</v>
      </c>
      <c r="D10" s="8" t="s">
        <v>1694</v>
      </c>
      <c r="E10" s="8">
        <v>0.29879999999999896</v>
      </c>
    </row>
    <row r="11" spans="1:5" ht="24.75">
      <c r="A11" s="8" t="s">
        <v>399</v>
      </c>
      <c r="B11" s="8" t="s">
        <v>253</v>
      </c>
      <c r="C11" s="8" t="s">
        <v>381</v>
      </c>
      <c r="D11" s="8" t="s">
        <v>1695</v>
      </c>
      <c r="E11" s="8">
        <v>0.80648020083549632</v>
      </c>
    </row>
    <row r="12" spans="1:5" ht="24.75">
      <c r="A12" s="8" t="s">
        <v>399</v>
      </c>
      <c r="B12" s="8" t="s">
        <v>253</v>
      </c>
      <c r="C12" s="8" t="s">
        <v>381</v>
      </c>
      <c r="D12" s="8" t="s">
        <v>1696</v>
      </c>
      <c r="E12" s="8">
        <v>0.50099999999999878</v>
      </c>
    </row>
    <row r="13" spans="1:5" ht="24.75">
      <c r="A13" s="8" t="s">
        <v>399</v>
      </c>
      <c r="B13" s="8" t="s">
        <v>253</v>
      </c>
      <c r="C13" s="8" t="s">
        <v>381</v>
      </c>
      <c r="D13" s="8" t="s">
        <v>1697</v>
      </c>
      <c r="E13" s="8">
        <v>0.29880000000000245</v>
      </c>
    </row>
    <row r="14" spans="1:5" ht="24.75">
      <c r="A14" s="8" t="s">
        <v>399</v>
      </c>
      <c r="B14" s="8" t="s">
        <v>253</v>
      </c>
      <c r="C14" s="8" t="s">
        <v>381</v>
      </c>
      <c r="D14" s="8" t="s">
        <v>1698</v>
      </c>
      <c r="E14" s="8">
        <v>0.20547260378059903</v>
      </c>
    </row>
    <row r="15" spans="1:5" ht="24.75">
      <c r="A15" s="8" t="s">
        <v>399</v>
      </c>
      <c r="B15" s="8" t="s">
        <v>253</v>
      </c>
      <c r="C15" s="8" t="s">
        <v>381</v>
      </c>
      <c r="D15" s="8" t="s">
        <v>1699</v>
      </c>
      <c r="E15" s="8">
        <v>1.099664724877504</v>
      </c>
    </row>
    <row r="16" spans="1:5" ht="24.75">
      <c r="A16" s="8" t="s">
        <v>399</v>
      </c>
      <c r="B16" s="8" t="s">
        <v>253</v>
      </c>
      <c r="C16" s="8" t="s">
        <v>381</v>
      </c>
      <c r="D16" s="8" t="s">
        <v>1700</v>
      </c>
      <c r="E16" s="8">
        <v>2.6113356997159429</v>
      </c>
    </row>
    <row r="17" spans="1:5" ht="24.75">
      <c r="A17" s="8" t="s">
        <v>399</v>
      </c>
      <c r="B17" s="8" t="s">
        <v>253</v>
      </c>
      <c r="C17" s="8" t="s">
        <v>381</v>
      </c>
      <c r="D17" s="8" t="s">
        <v>1701</v>
      </c>
      <c r="E17" s="8">
        <v>0.33150073743367608</v>
      </c>
    </row>
    <row r="18" spans="1:5" ht="24.75">
      <c r="A18" s="8" t="s">
        <v>399</v>
      </c>
      <c r="B18" s="8" t="s">
        <v>253</v>
      </c>
      <c r="C18" s="8" t="s">
        <v>381</v>
      </c>
      <c r="D18" s="8" t="s">
        <v>1702</v>
      </c>
      <c r="E18" s="8">
        <v>0.24039451250304958</v>
      </c>
    </row>
    <row r="19" spans="1:5" ht="24.75">
      <c r="A19" s="8" t="s">
        <v>399</v>
      </c>
      <c r="B19" s="8" t="s">
        <v>253</v>
      </c>
      <c r="C19" s="8" t="s">
        <v>381</v>
      </c>
      <c r="D19" s="8" t="s">
        <v>1703</v>
      </c>
      <c r="E19" s="8">
        <v>2.1299801206229083</v>
      </c>
    </row>
    <row r="20" spans="1:5" ht="24.75">
      <c r="A20" s="8" t="s">
        <v>399</v>
      </c>
      <c r="B20" s="8" t="s">
        <v>253</v>
      </c>
      <c r="C20" s="8" t="s">
        <v>381</v>
      </c>
      <c r="D20" s="8" t="s">
        <v>1704</v>
      </c>
      <c r="E20" s="8">
        <v>8.8556500000000007</v>
      </c>
    </row>
    <row r="21" spans="1:5" ht="24.75">
      <c r="A21" s="8" t="s">
        <v>399</v>
      </c>
      <c r="B21" s="8" t="s">
        <v>253</v>
      </c>
      <c r="C21" s="8" t="s">
        <v>381</v>
      </c>
      <c r="D21" s="8" t="s">
        <v>1705</v>
      </c>
      <c r="E21" s="8">
        <v>0.30630000000000046</v>
      </c>
    </row>
    <row r="22" spans="1:5" ht="24.75">
      <c r="A22" s="8" t="s">
        <v>399</v>
      </c>
      <c r="B22" s="8" t="s">
        <v>253</v>
      </c>
      <c r="C22" s="8" t="s">
        <v>381</v>
      </c>
      <c r="D22" s="8" t="s">
        <v>1706</v>
      </c>
      <c r="E22" s="8">
        <v>2.4442985862038711</v>
      </c>
    </row>
    <row r="23" spans="1:5" ht="24.75">
      <c r="A23" s="8" t="s">
        <v>399</v>
      </c>
      <c r="B23" s="8" t="s">
        <v>253</v>
      </c>
      <c r="C23" s="8" t="s">
        <v>381</v>
      </c>
      <c r="D23" s="8" t="s">
        <v>1707</v>
      </c>
      <c r="E23" s="8">
        <v>2.630650267494687</v>
      </c>
    </row>
    <row r="24" spans="1:5" ht="24.75">
      <c r="A24" s="8" t="s">
        <v>399</v>
      </c>
      <c r="B24" s="8" t="s">
        <v>253</v>
      </c>
      <c r="C24" s="8" t="s">
        <v>381</v>
      </c>
      <c r="D24" s="8" t="s">
        <v>1708</v>
      </c>
      <c r="E24" s="8">
        <v>0.9956499999999967</v>
      </c>
    </row>
    <row r="25" spans="1:5" ht="24.75">
      <c r="A25" s="8" t="s">
        <v>399</v>
      </c>
      <c r="B25" s="8" t="s">
        <v>253</v>
      </c>
      <c r="C25" s="8" t="s">
        <v>381</v>
      </c>
      <c r="D25" s="8" t="s">
        <v>1709</v>
      </c>
      <c r="E25" s="8">
        <v>0.21129999999999935</v>
      </c>
    </row>
    <row r="26" spans="1:5" ht="24.75">
      <c r="A26" s="8" t="s">
        <v>399</v>
      </c>
      <c r="B26" s="8" t="s">
        <v>253</v>
      </c>
      <c r="C26" s="8" t="s">
        <v>381</v>
      </c>
      <c r="D26" s="8" t="s">
        <v>1710</v>
      </c>
      <c r="E26" s="8">
        <v>0.29879999999999968</v>
      </c>
    </row>
    <row r="27" spans="1:5" ht="24.75">
      <c r="A27" s="8" t="s">
        <v>399</v>
      </c>
      <c r="B27" s="8" t="s">
        <v>253</v>
      </c>
      <c r="C27" s="8" t="s">
        <v>381</v>
      </c>
      <c r="D27" s="8" t="s">
        <v>1711</v>
      </c>
      <c r="E27" s="8">
        <v>8.6556500000000032</v>
      </c>
    </row>
    <row r="28" spans="1:5" ht="24.75">
      <c r="A28" s="8" t="s">
        <v>399</v>
      </c>
      <c r="B28" s="8" t="s">
        <v>253</v>
      </c>
      <c r="C28" s="8" t="s">
        <v>381</v>
      </c>
      <c r="D28" s="8" t="s">
        <v>1712</v>
      </c>
      <c r="E28" s="8">
        <v>49.041000000000011</v>
      </c>
    </row>
    <row r="29" spans="1:5" ht="24.75">
      <c r="A29" s="8" t="s">
        <v>399</v>
      </c>
      <c r="B29" s="8" t="s">
        <v>253</v>
      </c>
      <c r="C29" s="8" t="s">
        <v>381</v>
      </c>
      <c r="D29" s="8" t="s">
        <v>1713</v>
      </c>
      <c r="E29" s="8">
        <v>0.27699999999999941</v>
      </c>
    </row>
    <row r="30" spans="1:5" ht="24.75">
      <c r="A30" s="8" t="s">
        <v>399</v>
      </c>
      <c r="B30" s="8" t="s">
        <v>253</v>
      </c>
      <c r="C30" s="8" t="s">
        <v>381</v>
      </c>
      <c r="D30" s="8" t="s">
        <v>1714</v>
      </c>
      <c r="E30" s="8">
        <v>36.841000000000001</v>
      </c>
    </row>
    <row r="31" spans="1:5" ht="24.75">
      <c r="A31" s="8" t="s">
        <v>399</v>
      </c>
      <c r="B31" s="8" t="s">
        <v>253</v>
      </c>
      <c r="C31" s="8" t="s">
        <v>381</v>
      </c>
      <c r="D31" s="8" t="s">
        <v>1715</v>
      </c>
      <c r="E31" s="8">
        <v>15.138428148745692</v>
      </c>
    </row>
    <row r="32" spans="1:5" ht="24.75">
      <c r="A32" s="8" t="s">
        <v>399</v>
      </c>
      <c r="B32" s="8" t="s">
        <v>253</v>
      </c>
      <c r="C32" s="8" t="s">
        <v>381</v>
      </c>
      <c r="D32" s="8" t="s">
        <v>1716</v>
      </c>
      <c r="E32" s="8">
        <v>28.487910550492728</v>
      </c>
    </row>
    <row r="33" spans="1:5" ht="24.75">
      <c r="A33" s="8" t="s">
        <v>399</v>
      </c>
      <c r="B33" s="8" t="s">
        <v>253</v>
      </c>
      <c r="C33" s="8" t="s">
        <v>381</v>
      </c>
      <c r="D33" s="8" t="s">
        <v>1717</v>
      </c>
      <c r="E33" s="8">
        <v>0.20069999999999857</v>
      </c>
    </row>
    <row r="34" spans="1:5" ht="24.75">
      <c r="A34" s="8" t="s">
        <v>399</v>
      </c>
      <c r="B34" s="8" t="s">
        <v>253</v>
      </c>
      <c r="C34" s="8" t="s">
        <v>381</v>
      </c>
      <c r="D34" s="8" t="s">
        <v>1718</v>
      </c>
      <c r="E34" s="8">
        <v>9.222649999999998</v>
      </c>
    </row>
    <row r="35" spans="1:5" ht="24.75">
      <c r="A35" s="8" t="s">
        <v>399</v>
      </c>
      <c r="B35" s="8" t="s">
        <v>253</v>
      </c>
      <c r="C35" s="8" t="s">
        <v>381</v>
      </c>
      <c r="D35" s="8" t="s">
        <v>1719</v>
      </c>
      <c r="E35" s="8">
        <v>3.0175118765851172</v>
      </c>
    </row>
    <row r="36" spans="1:5" ht="24.75">
      <c r="A36" s="8" t="s">
        <v>399</v>
      </c>
      <c r="B36" s="8" t="s">
        <v>253</v>
      </c>
      <c r="C36" s="8" t="s">
        <v>381</v>
      </c>
      <c r="D36" s="8" t="s">
        <v>1720</v>
      </c>
      <c r="E36" s="8">
        <v>1.3569913421348978</v>
      </c>
    </row>
    <row r="37" spans="1:5" ht="24.75">
      <c r="A37" s="8" t="s">
        <v>399</v>
      </c>
      <c r="B37" s="8" t="s">
        <v>253</v>
      </c>
      <c r="C37" s="8" t="s">
        <v>381</v>
      </c>
      <c r="D37" s="8" t="s">
        <v>1721</v>
      </c>
      <c r="E37" s="8">
        <v>2.7569913421349028</v>
      </c>
    </row>
    <row r="38" spans="1:5" ht="24.75">
      <c r="A38" s="8" t="s">
        <v>399</v>
      </c>
      <c r="B38" s="8" t="s">
        <v>253</v>
      </c>
      <c r="C38" s="8" t="s">
        <v>381</v>
      </c>
      <c r="D38" s="8" t="s">
        <v>1722</v>
      </c>
      <c r="E38" s="8">
        <v>1.2569913421348902</v>
      </c>
    </row>
    <row r="39" spans="1:5" ht="24.75">
      <c r="A39" s="8" t="s">
        <v>399</v>
      </c>
      <c r="B39" s="8" t="s">
        <v>253</v>
      </c>
      <c r="C39" s="8" t="s">
        <v>381</v>
      </c>
      <c r="D39" s="8" t="s">
        <v>1723</v>
      </c>
      <c r="E39" s="8">
        <v>3.1569913421348912</v>
      </c>
    </row>
    <row r="40" spans="1:5" ht="24.75">
      <c r="A40" s="8" t="s">
        <v>399</v>
      </c>
      <c r="B40" s="8" t="s">
        <v>253</v>
      </c>
      <c r="C40" s="8" t="s">
        <v>381</v>
      </c>
      <c r="D40" s="8" t="s">
        <v>1724</v>
      </c>
      <c r="E40" s="8">
        <v>1.2018176078956362</v>
      </c>
    </row>
    <row r="41" spans="1:5" ht="24.75">
      <c r="A41" s="8" t="s">
        <v>399</v>
      </c>
      <c r="B41" s="8" t="s">
        <v>253</v>
      </c>
      <c r="C41" s="8" t="s">
        <v>381</v>
      </c>
      <c r="D41" s="8" t="s">
        <v>1725</v>
      </c>
      <c r="E41" s="8">
        <v>3.2741164289204963</v>
      </c>
    </row>
    <row r="42" spans="1:5" ht="24.75">
      <c r="A42" s="8" t="s">
        <v>399</v>
      </c>
      <c r="B42" s="8" t="s">
        <v>253</v>
      </c>
      <c r="C42" s="8" t="s">
        <v>381</v>
      </c>
      <c r="D42" s="8" t="s">
        <v>1726</v>
      </c>
      <c r="E42" s="8">
        <v>1.4596717397151613</v>
      </c>
    </row>
    <row r="43" spans="1:5" ht="24.75">
      <c r="A43" s="8" t="s">
        <v>399</v>
      </c>
      <c r="B43" s="8" t="s">
        <v>253</v>
      </c>
      <c r="C43" s="8" t="s">
        <v>381</v>
      </c>
      <c r="D43" s="8" t="s">
        <v>1727</v>
      </c>
      <c r="E43" s="8">
        <v>2.1507340528854626</v>
      </c>
    </row>
    <row r="44" spans="1:5" ht="24.75">
      <c r="A44" s="8" t="s">
        <v>399</v>
      </c>
      <c r="B44" s="8" t="s">
        <v>253</v>
      </c>
      <c r="C44" s="8" t="s">
        <v>381</v>
      </c>
      <c r="D44" s="8" t="s">
        <v>1728</v>
      </c>
      <c r="E44" s="8">
        <v>0.33150073743367608</v>
      </c>
    </row>
    <row r="45" spans="1:5" ht="24.75">
      <c r="A45" s="8" t="s">
        <v>399</v>
      </c>
      <c r="B45" s="8" t="s">
        <v>253</v>
      </c>
      <c r="C45" s="8" t="s">
        <v>381</v>
      </c>
      <c r="D45" s="8" t="s">
        <v>1729</v>
      </c>
      <c r="E45" s="8">
        <v>0.24039451250304958</v>
      </c>
    </row>
    <row r="46" spans="1:5" ht="24.75">
      <c r="A46" s="8" t="s">
        <v>399</v>
      </c>
      <c r="B46" s="8" t="s">
        <v>253</v>
      </c>
      <c r="C46" s="8" t="s">
        <v>381</v>
      </c>
      <c r="D46" s="8" t="s">
        <v>1730</v>
      </c>
      <c r="E46" s="8">
        <v>4.7885112946479547</v>
      </c>
    </row>
    <row r="47" spans="1:5">
      <c r="A47" s="1" t="s">
        <v>246</v>
      </c>
      <c r="B47" s="1" t="s">
        <v>246</v>
      </c>
      <c r="C47" s="1">
        <f>SUBTOTAL(103,Elements13_3_541[Elemento])</f>
        <v>40</v>
      </c>
      <c r="D47" s="1" t="s">
        <v>246</v>
      </c>
      <c r="E47" s="1">
        <f>SUBTOTAL(109,Elements13_3_541[Totais:])</f>
        <v>198.2044669154659</v>
      </c>
    </row>
  </sheetData>
  <mergeCells count="3">
    <mergeCell ref="A1:E2"/>
    <mergeCell ref="A4:E4"/>
    <mergeCell ref="A5:E5"/>
  </mergeCells>
  <hyperlinks>
    <hyperlink ref="A1" location="'13.3.54'!A1" display="TUBO PEAD LISO PARA REDE DE ÁGUA OU ESGOTO, DIÂMETRO DE 110 MM, JUNTA SOLDADA (NÃO INCLUI A EXECUÇÃO DE SOLDA) - FORNECIMENTO E ASSENTAMENTO. AF_12/2021" xr:uid="{00000000-0004-0000-7600-000000000000}"/>
    <hyperlink ref="B1" location="'13.3.54'!A1" display="TUBO PEAD LISO PARA REDE DE ÁGUA OU ESGOTO, DIÂMETRO DE 110 MM, JUNTA SOLDADA (NÃO INCLUI A EXECUÇÃO DE SOLDA) - FORNECIMENTO E ASSENTAMENTO. AF_12/2021" xr:uid="{00000000-0004-0000-7600-000001000000}"/>
    <hyperlink ref="C1" location="'13.3.54'!A1" display="TUBO PEAD LISO PARA REDE DE ÁGUA OU ESGOTO, DIÂMETRO DE 110 MM, JUNTA SOLDADA (NÃO INCLUI A EXECUÇÃO DE SOLDA) - FORNECIMENTO E ASSENTAMENTO. AF_12/2021" xr:uid="{00000000-0004-0000-7600-000002000000}"/>
    <hyperlink ref="D1" location="'13.3.54'!A1" display="TUBO PEAD LISO PARA REDE DE ÁGUA OU ESGOTO, DIÂMETRO DE 110 MM, JUNTA SOLDADA (NÃO INCLUI A EXECUÇÃO DE SOLDA) - FORNECIMENTO E ASSENTAMENTO. AF_12/2021" xr:uid="{00000000-0004-0000-7600-000003000000}"/>
    <hyperlink ref="E1" location="'13.3.54'!A1" display="TUBO PEAD LISO PARA REDE DE ÁGUA OU ESGOTO, DIÂMETRO DE 110 MM, JUNTA SOLDADA (NÃO INCLUI A EXECUÇÃO DE SOLDA) - FORNECIMENTO E ASSENTAMENTO. AF_12/2021" xr:uid="{00000000-0004-0000-7600-000004000000}"/>
    <hyperlink ref="A2" location="'13.3.54'!A1" display="TUBO PEAD LISO PARA REDE DE ÁGUA OU ESGOTO, DIÂMETRO DE 110 MM, JUNTA SOLDADA (NÃO INCLUI A EXECUÇÃO DE SOLDA) - FORNECIMENTO E ASSENTAMENTO. AF_12/2021" xr:uid="{00000000-0004-0000-7600-000005000000}"/>
    <hyperlink ref="B2" location="'13.3.54'!A1" display="TUBO PEAD LISO PARA REDE DE ÁGUA OU ESGOTO, DIÂMETRO DE 110 MM, JUNTA SOLDADA (NÃO INCLUI A EXECUÇÃO DE SOLDA) - FORNECIMENTO E ASSENTAMENTO. AF_12/2021" xr:uid="{00000000-0004-0000-7600-000006000000}"/>
    <hyperlink ref="C2" location="'13.3.54'!A1" display="TUBO PEAD LISO PARA REDE DE ÁGUA OU ESGOTO, DIÂMETRO DE 110 MM, JUNTA SOLDADA (NÃO INCLUI A EXECUÇÃO DE SOLDA) - FORNECIMENTO E ASSENTAMENTO. AF_12/2021" xr:uid="{00000000-0004-0000-7600-000007000000}"/>
    <hyperlink ref="D2" location="'13.3.54'!A1" display="TUBO PEAD LISO PARA REDE DE ÁGUA OU ESGOTO, DIÂMETRO DE 110 MM, JUNTA SOLDADA (NÃO INCLUI A EXECUÇÃO DE SOLDA) - FORNECIMENTO E ASSENTAMENTO. AF_12/2021" xr:uid="{00000000-0004-0000-7600-000008000000}"/>
    <hyperlink ref="E2" location="'13.3.54'!A1" display="TUBO PEAD LISO PARA REDE DE ÁGUA OU ESGOTO, DIÂMETRO DE 110 MM, JUNTA SOLDADA (NÃO INCLUI A EXECUÇÃO DE SOLDA) - FORNECIMENTO E ASSENTAMENTO. AF_12/2021" xr:uid="{00000000-0004-0000-7600-000009000000}"/>
    <hyperlink ref="A4" location="'13.3.54'!A1" display="Tubulação" xr:uid="{00000000-0004-0000-7600-00000A000000}"/>
    <hyperlink ref="B4" location="'13.3.54'!A1" display="Tubulação" xr:uid="{00000000-0004-0000-7600-00000B000000}"/>
    <hyperlink ref="C4" location="'13.3.54'!A1" display="Tubulação" xr:uid="{00000000-0004-0000-7600-00000C000000}"/>
    <hyperlink ref="D4" location="'13.3.54'!A1" display="Tubulação" xr:uid="{00000000-0004-0000-7600-00000D000000}"/>
    <hyperlink ref="E4" location="'13.3.54'!A1" display="Tubulação" xr:uid="{00000000-0004-0000-7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53</v>
      </c>
      <c r="B2" s="5" t="s">
        <v>54</v>
      </c>
      <c r="C2" s="5" t="s">
        <v>30</v>
      </c>
      <c r="D2" s="5" t="s">
        <v>55</v>
      </c>
      <c r="E2" s="5" t="s">
        <v>44</v>
      </c>
      <c r="F2" s="5" t="s">
        <v>56</v>
      </c>
      <c r="G2" s="5">
        <v>28.544124118879999</v>
      </c>
      <c r="H2" s="5">
        <v>34.210132756477684</v>
      </c>
      <c r="I2" s="5">
        <v>172.7611704202123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29</v>
      </c>
      <c r="D8" s="8" t="s">
        <v>292</v>
      </c>
      <c r="E8" s="8">
        <v>5.0469389069168527</v>
      </c>
    </row>
    <row r="9" spans="1:9">
      <c r="A9" s="8" t="s">
        <v>246</v>
      </c>
      <c r="B9" s="8" t="s">
        <v>246</v>
      </c>
      <c r="C9" s="8">
        <f>SUBTOTAL(109,Criteria_Summary13.3.10[Elementos])</f>
        <v>29</v>
      </c>
      <c r="D9" s="8" t="s">
        <v>246</v>
      </c>
      <c r="E9" s="8">
        <f>SUBTOTAL(109,Criteria_Summary13.3.10[Total])</f>
        <v>5.0469389069168527</v>
      </c>
    </row>
    <row r="10" spans="1:9">
      <c r="A10" s="9" t="s">
        <v>247</v>
      </c>
      <c r="B10" s="9">
        <v>0</v>
      </c>
      <c r="C10" s="10"/>
      <c r="D10" s="10"/>
      <c r="E10" s="9">
        <v>5.05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29</v>
      </c>
      <c r="C16" s="18" t="s">
        <v>293</v>
      </c>
      <c r="D16" s="18" t="s">
        <v>293</v>
      </c>
      <c r="E16" s="8">
        <v>5.0469389069168527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294</v>
      </c>
      <c r="B24" s="18" t="s">
        <v>294</v>
      </c>
      <c r="C24" s="18" t="s">
        <v>294</v>
      </c>
      <c r="D24" s="8" t="s">
        <v>295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>
      <c r="A28" s="8" t="s">
        <v>263</v>
      </c>
      <c r="B28" s="8" t="s">
        <v>271</v>
      </c>
      <c r="C28" s="8" t="s">
        <v>303</v>
      </c>
      <c r="D28" s="8" t="s">
        <v>297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10" xr:uid="{00000000-0004-0000-0B00-000000000000}"/>
    <hyperlink ref="F2" location="'13.3.10E'!A1" display="5,05" xr:uid="{00000000-0004-0000-0B00-000001000000}"/>
    <hyperlink ref="E10" location="'13.3.10E'!A1" display="'13.3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700-000000000000}">
  <dimension ref="A1:E22"/>
  <sheetViews>
    <sheetView showGridLines="0" workbookViewId="0">
      <selection sqref="A1:E2"/>
    </sheetView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192</v>
      </c>
      <c r="B1" s="20" t="s">
        <v>192</v>
      </c>
      <c r="C1" s="20" t="s">
        <v>192</v>
      </c>
      <c r="D1" s="20" t="s">
        <v>192</v>
      </c>
      <c r="E1" s="20" t="s">
        <v>192</v>
      </c>
    </row>
    <row r="2" spans="1:5">
      <c r="A2" s="20" t="s">
        <v>192</v>
      </c>
      <c r="B2" s="20" t="s">
        <v>192</v>
      </c>
      <c r="C2" s="20" t="s">
        <v>192</v>
      </c>
      <c r="D2" s="20" t="s">
        <v>192</v>
      </c>
      <c r="E2" s="20" t="s">
        <v>192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1568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1569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1570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1571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1572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1573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1574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1575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1576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1577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1578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1579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1580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1581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1582</v>
      </c>
      <c r="E21" s="8">
        <v>1</v>
      </c>
    </row>
    <row r="22" spans="1:5">
      <c r="A22" s="1" t="s">
        <v>246</v>
      </c>
      <c r="B22" s="1" t="s">
        <v>246</v>
      </c>
      <c r="C22" s="1">
        <f>SUBTOTAL(103,Elements13_3_551[Elemento])</f>
        <v>15</v>
      </c>
      <c r="D22" s="1" t="s">
        <v>246</v>
      </c>
      <c r="E22" s="1">
        <f>SUBTOTAL(109,Elements13_3_551[Totais:])</f>
        <v>15</v>
      </c>
    </row>
  </sheetData>
  <mergeCells count="3">
    <mergeCell ref="A1:E2"/>
    <mergeCell ref="A4:E4"/>
    <mergeCell ref="A5:E5"/>
  </mergeCells>
  <hyperlinks>
    <hyperlink ref="A1" location="'13.3.55'!A1" display="CURVA 90º SOLDAVEL,COM DIAMETRO DE 25MM.FORNECIMENTO" xr:uid="{00000000-0004-0000-7700-000000000000}"/>
    <hyperlink ref="B1" location="'13.3.55'!A1" display="CURVA 90º SOLDAVEL,COM DIAMETRO DE 25MM.FORNECIMENTO" xr:uid="{00000000-0004-0000-7700-000001000000}"/>
    <hyperlink ref="C1" location="'13.3.55'!A1" display="CURVA 90º SOLDAVEL,COM DIAMETRO DE 25MM.FORNECIMENTO" xr:uid="{00000000-0004-0000-7700-000002000000}"/>
    <hyperlink ref="D1" location="'13.3.55'!A1" display="CURVA 90º SOLDAVEL,COM DIAMETRO DE 25MM.FORNECIMENTO" xr:uid="{00000000-0004-0000-7700-000003000000}"/>
    <hyperlink ref="E1" location="'13.3.55'!A1" display="CURVA 90º SOLDAVEL,COM DIAMETRO DE 25MM.FORNECIMENTO" xr:uid="{00000000-0004-0000-7700-000004000000}"/>
    <hyperlink ref="A2" location="'13.3.55'!A1" display="CURVA 90º SOLDAVEL,COM DIAMETRO DE 25MM.FORNECIMENTO" xr:uid="{00000000-0004-0000-7700-000005000000}"/>
    <hyperlink ref="B2" location="'13.3.55'!A1" display="CURVA 90º SOLDAVEL,COM DIAMETRO DE 25MM.FORNECIMENTO" xr:uid="{00000000-0004-0000-7700-000006000000}"/>
    <hyperlink ref="C2" location="'13.3.55'!A1" display="CURVA 90º SOLDAVEL,COM DIAMETRO DE 25MM.FORNECIMENTO" xr:uid="{00000000-0004-0000-7700-000007000000}"/>
    <hyperlink ref="D2" location="'13.3.55'!A1" display="CURVA 90º SOLDAVEL,COM DIAMETRO DE 25MM.FORNECIMENTO" xr:uid="{00000000-0004-0000-7700-000008000000}"/>
    <hyperlink ref="E2" location="'13.3.55'!A1" display="CURVA 90º SOLDAVEL,COM DIAMETRO DE 25MM.FORNECIMENTO" xr:uid="{00000000-0004-0000-7700-000009000000}"/>
    <hyperlink ref="A4" location="'13.3.55'!A1" display="Conexões de tubo" xr:uid="{00000000-0004-0000-7700-00000A000000}"/>
    <hyperlink ref="B4" location="'13.3.55'!A1" display="Conexões de tubo" xr:uid="{00000000-0004-0000-7700-00000B000000}"/>
    <hyperlink ref="C4" location="'13.3.55'!A1" display="Conexões de tubo" xr:uid="{00000000-0004-0000-7700-00000C000000}"/>
    <hyperlink ref="D4" location="'13.3.55'!A1" display="Conexões de tubo" xr:uid="{00000000-0004-0000-7700-00000D000000}"/>
    <hyperlink ref="E4" location="'13.3.55'!A1" display="Conexões de tubo" xr:uid="{00000000-0004-0000-7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800-000000000000}">
  <dimension ref="A1:E4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215</v>
      </c>
      <c r="B1" s="20" t="s">
        <v>215</v>
      </c>
      <c r="C1" s="20" t="s">
        <v>215</v>
      </c>
      <c r="D1" s="20" t="s">
        <v>215</v>
      </c>
      <c r="E1" s="20" t="s">
        <v>215</v>
      </c>
    </row>
    <row r="2" spans="1:5">
      <c r="A2" s="20" t="s">
        <v>215</v>
      </c>
      <c r="B2" s="20" t="s">
        <v>215</v>
      </c>
      <c r="C2" s="20" t="s">
        <v>215</v>
      </c>
      <c r="D2" s="20" t="s">
        <v>215</v>
      </c>
      <c r="E2" s="20" t="s">
        <v>215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1731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1732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1733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1734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1735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1736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1737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1738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1739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1740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1741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1742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1743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1744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1745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1746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1747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1748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1749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1750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1751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1752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1753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1754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1755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1756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1757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1758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1759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1760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1761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1762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1763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1764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1765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1766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1767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1768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1769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1770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1771</v>
      </c>
      <c r="E47" s="8">
        <v>1</v>
      </c>
    </row>
    <row r="48" spans="1:5">
      <c r="A48" s="1" t="s">
        <v>246</v>
      </c>
      <c r="B48" s="1" t="s">
        <v>246</v>
      </c>
      <c r="C48" s="1">
        <f>SUBTOTAL(103,Elements13_3_561[Elemento])</f>
        <v>41</v>
      </c>
      <c r="D48" s="1" t="s">
        <v>246</v>
      </c>
      <c r="E48" s="1">
        <f>SUBTOTAL(109,Elements13_3_561[Totais:])</f>
        <v>41</v>
      </c>
    </row>
  </sheetData>
  <mergeCells count="3">
    <mergeCell ref="A1:E2"/>
    <mergeCell ref="A4:E4"/>
    <mergeCell ref="A5:E5"/>
  </mergeCells>
  <hyperlinks>
    <hyperlink ref="A1" location="'13.3.56'!A1" display="JOELHO 45º SOLDAVEL,COM DIAMETRO DE 40MM.FORNECIMENTO" xr:uid="{00000000-0004-0000-7800-000000000000}"/>
    <hyperlink ref="B1" location="'13.3.56'!A1" display="JOELHO 45º SOLDAVEL,COM DIAMETRO DE 40MM.FORNECIMENTO" xr:uid="{00000000-0004-0000-7800-000001000000}"/>
    <hyperlink ref="C1" location="'13.3.56'!A1" display="JOELHO 45º SOLDAVEL,COM DIAMETRO DE 40MM.FORNECIMENTO" xr:uid="{00000000-0004-0000-7800-000002000000}"/>
    <hyperlink ref="D1" location="'13.3.56'!A1" display="JOELHO 45º SOLDAVEL,COM DIAMETRO DE 40MM.FORNECIMENTO" xr:uid="{00000000-0004-0000-7800-000003000000}"/>
    <hyperlink ref="E1" location="'13.3.56'!A1" display="JOELHO 45º SOLDAVEL,COM DIAMETRO DE 40MM.FORNECIMENTO" xr:uid="{00000000-0004-0000-7800-000004000000}"/>
    <hyperlink ref="A2" location="'13.3.56'!A1" display="JOELHO 45º SOLDAVEL,COM DIAMETRO DE 40MM.FORNECIMENTO" xr:uid="{00000000-0004-0000-7800-000005000000}"/>
    <hyperlink ref="B2" location="'13.3.56'!A1" display="JOELHO 45º SOLDAVEL,COM DIAMETRO DE 40MM.FORNECIMENTO" xr:uid="{00000000-0004-0000-7800-000006000000}"/>
    <hyperlink ref="C2" location="'13.3.56'!A1" display="JOELHO 45º SOLDAVEL,COM DIAMETRO DE 40MM.FORNECIMENTO" xr:uid="{00000000-0004-0000-7800-000007000000}"/>
    <hyperlink ref="D2" location="'13.3.56'!A1" display="JOELHO 45º SOLDAVEL,COM DIAMETRO DE 40MM.FORNECIMENTO" xr:uid="{00000000-0004-0000-7800-000008000000}"/>
    <hyperlink ref="E2" location="'13.3.56'!A1" display="JOELHO 45º SOLDAVEL,COM DIAMETRO DE 40MM.FORNECIMENTO" xr:uid="{00000000-0004-0000-7800-000009000000}"/>
    <hyperlink ref="A4" location="'13.3.56'!A1" display="Conexões de tubo" xr:uid="{00000000-0004-0000-7800-00000A000000}"/>
    <hyperlink ref="B4" location="'13.3.56'!A1" display="Conexões de tubo" xr:uid="{00000000-0004-0000-7800-00000B000000}"/>
    <hyperlink ref="C4" location="'13.3.56'!A1" display="Conexões de tubo" xr:uid="{00000000-0004-0000-7800-00000C000000}"/>
    <hyperlink ref="D4" location="'13.3.56'!A1" display="Conexões de tubo" xr:uid="{00000000-0004-0000-7800-00000D000000}"/>
    <hyperlink ref="E4" location="'13.3.56'!A1" display="Conexões de tubo" xr:uid="{00000000-0004-0000-7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900-000000000000}">
  <dimension ref="A1:E4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219</v>
      </c>
      <c r="B1" s="20" t="s">
        <v>219</v>
      </c>
      <c r="C1" s="20" t="s">
        <v>219</v>
      </c>
      <c r="D1" s="20" t="s">
        <v>219</v>
      </c>
      <c r="E1" s="20" t="s">
        <v>219</v>
      </c>
    </row>
    <row r="2" spans="1:5">
      <c r="A2" s="20" t="s">
        <v>219</v>
      </c>
      <c r="B2" s="20" t="s">
        <v>219</v>
      </c>
      <c r="C2" s="20" t="s">
        <v>219</v>
      </c>
      <c r="D2" s="20" t="s">
        <v>219</v>
      </c>
      <c r="E2" s="20" t="s">
        <v>219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1772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1773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1774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1775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1776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1777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1778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1779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1780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1781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1782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1783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1784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1785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1786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1787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1788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1789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1790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1791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1792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1793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1794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1795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1796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1797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1798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1799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1800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1801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1802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1803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1804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1805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1806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1807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1808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1809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1810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1811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1812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277</v>
      </c>
      <c r="D48" s="8" t="s">
        <v>1813</v>
      </c>
      <c r="E48" s="8">
        <v>1</v>
      </c>
    </row>
    <row r="49" spans="1:5">
      <c r="A49" s="1" t="s">
        <v>246</v>
      </c>
      <c r="B49" s="1" t="s">
        <v>246</v>
      </c>
      <c r="C49" s="1">
        <f>SUBTOTAL(103,Elements13_3_571[Elemento])</f>
        <v>42</v>
      </c>
      <c r="D49" s="1" t="s">
        <v>246</v>
      </c>
      <c r="E49" s="1">
        <f>SUBTOTAL(109,Elements13_3_571[Totais:])</f>
        <v>42</v>
      </c>
    </row>
  </sheetData>
  <mergeCells count="3">
    <mergeCell ref="A1:E2"/>
    <mergeCell ref="A4:E4"/>
    <mergeCell ref="A5:E5"/>
  </mergeCells>
  <hyperlinks>
    <hyperlink ref="A1" location="'13.3.57'!A1" display="JOELHO 45º SOLDAVEL,COM DIAMETRO DE 50MM.FORNECIMENTO" xr:uid="{00000000-0004-0000-7900-000000000000}"/>
    <hyperlink ref="B1" location="'13.3.57'!A1" display="JOELHO 45º SOLDAVEL,COM DIAMETRO DE 50MM.FORNECIMENTO" xr:uid="{00000000-0004-0000-7900-000001000000}"/>
    <hyperlink ref="C1" location="'13.3.57'!A1" display="JOELHO 45º SOLDAVEL,COM DIAMETRO DE 50MM.FORNECIMENTO" xr:uid="{00000000-0004-0000-7900-000002000000}"/>
    <hyperlink ref="D1" location="'13.3.57'!A1" display="JOELHO 45º SOLDAVEL,COM DIAMETRO DE 50MM.FORNECIMENTO" xr:uid="{00000000-0004-0000-7900-000003000000}"/>
    <hyperlink ref="E1" location="'13.3.57'!A1" display="JOELHO 45º SOLDAVEL,COM DIAMETRO DE 50MM.FORNECIMENTO" xr:uid="{00000000-0004-0000-7900-000004000000}"/>
    <hyperlink ref="A2" location="'13.3.57'!A1" display="JOELHO 45º SOLDAVEL,COM DIAMETRO DE 50MM.FORNECIMENTO" xr:uid="{00000000-0004-0000-7900-000005000000}"/>
    <hyperlink ref="B2" location="'13.3.57'!A1" display="JOELHO 45º SOLDAVEL,COM DIAMETRO DE 50MM.FORNECIMENTO" xr:uid="{00000000-0004-0000-7900-000006000000}"/>
    <hyperlink ref="C2" location="'13.3.57'!A1" display="JOELHO 45º SOLDAVEL,COM DIAMETRO DE 50MM.FORNECIMENTO" xr:uid="{00000000-0004-0000-7900-000007000000}"/>
    <hyperlink ref="D2" location="'13.3.57'!A1" display="JOELHO 45º SOLDAVEL,COM DIAMETRO DE 50MM.FORNECIMENTO" xr:uid="{00000000-0004-0000-7900-000008000000}"/>
    <hyperlink ref="E2" location="'13.3.57'!A1" display="JOELHO 45º SOLDAVEL,COM DIAMETRO DE 50MM.FORNECIMENTO" xr:uid="{00000000-0004-0000-7900-000009000000}"/>
    <hyperlink ref="A4" location="'13.3.57'!A1" display="Conexões de tubo" xr:uid="{00000000-0004-0000-7900-00000A000000}"/>
    <hyperlink ref="B4" location="'13.3.57'!A1" display="Conexões de tubo" xr:uid="{00000000-0004-0000-7900-00000B000000}"/>
    <hyperlink ref="C4" location="'13.3.57'!A1" display="Conexões de tubo" xr:uid="{00000000-0004-0000-7900-00000C000000}"/>
    <hyperlink ref="D4" location="'13.3.57'!A1" display="Conexões de tubo" xr:uid="{00000000-0004-0000-7900-00000D000000}"/>
    <hyperlink ref="E4" location="'13.3.57'!A1" display="Conexões de tubo" xr:uid="{00000000-0004-0000-7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A00-000000000000}">
  <dimension ref="A1:E2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223</v>
      </c>
      <c r="B1" s="20" t="s">
        <v>223</v>
      </c>
      <c r="C1" s="20" t="s">
        <v>223</v>
      </c>
      <c r="D1" s="20" t="s">
        <v>223</v>
      </c>
      <c r="E1" s="20" t="s">
        <v>223</v>
      </c>
    </row>
    <row r="2" spans="1:5">
      <c r="A2" s="20" t="s">
        <v>223</v>
      </c>
      <c r="B2" s="20" t="s">
        <v>223</v>
      </c>
      <c r="C2" s="20" t="s">
        <v>223</v>
      </c>
      <c r="D2" s="20" t="s">
        <v>223</v>
      </c>
      <c r="E2" s="20" t="s">
        <v>223</v>
      </c>
    </row>
    <row r="4" spans="1:5">
      <c r="A4" s="15" t="s">
        <v>298</v>
      </c>
      <c r="B4" s="15" t="s">
        <v>298</v>
      </c>
      <c r="C4" s="15" t="s">
        <v>298</v>
      </c>
      <c r="D4" s="15" t="s">
        <v>298</v>
      </c>
      <c r="E4" s="15" t="s">
        <v>298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386</v>
      </c>
      <c r="D7" s="8" t="s">
        <v>1814</v>
      </c>
      <c r="E7" s="8">
        <v>0.16642811177846853</v>
      </c>
    </row>
    <row r="8" spans="1:5" ht="24.75">
      <c r="A8" s="8" t="s">
        <v>399</v>
      </c>
      <c r="B8" s="8" t="s">
        <v>253</v>
      </c>
      <c r="C8" s="8" t="s">
        <v>386</v>
      </c>
      <c r="D8" s="8" t="s">
        <v>1815</v>
      </c>
      <c r="E8" s="8">
        <v>2.8128999102521179</v>
      </c>
    </row>
    <row r="9" spans="1:5" ht="24.75">
      <c r="A9" s="8" t="s">
        <v>399</v>
      </c>
      <c r="B9" s="8" t="s">
        <v>253</v>
      </c>
      <c r="C9" s="8" t="s">
        <v>386</v>
      </c>
      <c r="D9" s="8" t="s">
        <v>1816</v>
      </c>
      <c r="E9" s="8">
        <v>0.55971898416542198</v>
      </c>
    </row>
    <row r="10" spans="1:5" ht="24.75">
      <c r="A10" s="8" t="s">
        <v>399</v>
      </c>
      <c r="B10" s="8" t="s">
        <v>253</v>
      </c>
      <c r="C10" s="8" t="s">
        <v>386</v>
      </c>
      <c r="D10" s="8" t="s">
        <v>1817</v>
      </c>
      <c r="E10" s="8">
        <v>9.2184403739995743E-2</v>
      </c>
    </row>
    <row r="11" spans="1:5" ht="24.75">
      <c r="A11" s="8" t="s">
        <v>399</v>
      </c>
      <c r="B11" s="8" t="s">
        <v>253</v>
      </c>
      <c r="C11" s="8" t="s">
        <v>386</v>
      </c>
      <c r="D11" s="8" t="s">
        <v>1818</v>
      </c>
      <c r="E11" s="8">
        <v>0.18201298635392404</v>
      </c>
    </row>
    <row r="12" spans="1:5" ht="24.75">
      <c r="A12" s="8" t="s">
        <v>399</v>
      </c>
      <c r="B12" s="8" t="s">
        <v>253</v>
      </c>
      <c r="C12" s="8" t="s">
        <v>386</v>
      </c>
      <c r="D12" s="8" t="s">
        <v>1819</v>
      </c>
      <c r="E12" s="8">
        <v>2.8810113721190791</v>
      </c>
    </row>
    <row r="13" spans="1:5" ht="24.75">
      <c r="A13" s="8" t="s">
        <v>399</v>
      </c>
      <c r="B13" s="8" t="s">
        <v>253</v>
      </c>
      <c r="C13" s="8" t="s">
        <v>386</v>
      </c>
      <c r="D13" s="8" t="s">
        <v>1820</v>
      </c>
      <c r="E13" s="8">
        <v>1.0806357454991031</v>
      </c>
    </row>
    <row r="14" spans="1:5" ht="24.75">
      <c r="A14" s="8" t="s">
        <v>399</v>
      </c>
      <c r="B14" s="8" t="s">
        <v>253</v>
      </c>
      <c r="C14" s="8" t="s">
        <v>386</v>
      </c>
      <c r="D14" s="8" t="s">
        <v>1821</v>
      </c>
      <c r="E14" s="8">
        <v>0.15825306391119662</v>
      </c>
    </row>
    <row r="15" spans="1:5" ht="24.75">
      <c r="A15" s="8" t="s">
        <v>399</v>
      </c>
      <c r="B15" s="8" t="s">
        <v>253</v>
      </c>
      <c r="C15" s="8" t="s">
        <v>386</v>
      </c>
      <c r="D15" s="8" t="s">
        <v>1822</v>
      </c>
      <c r="E15" s="8">
        <v>0.19366309650087271</v>
      </c>
    </row>
    <row r="16" spans="1:5" ht="24.75">
      <c r="A16" s="8" t="s">
        <v>399</v>
      </c>
      <c r="B16" s="8" t="s">
        <v>253</v>
      </c>
      <c r="C16" s="8" t="s">
        <v>386</v>
      </c>
      <c r="D16" s="8" t="s">
        <v>1823</v>
      </c>
      <c r="E16" s="8">
        <v>2.8198670811811657</v>
      </c>
    </row>
    <row r="17" spans="1:5" ht="24.75">
      <c r="A17" s="8" t="s">
        <v>399</v>
      </c>
      <c r="B17" s="8" t="s">
        <v>253</v>
      </c>
      <c r="C17" s="8" t="s">
        <v>386</v>
      </c>
      <c r="D17" s="8" t="s">
        <v>1824</v>
      </c>
      <c r="E17" s="8">
        <v>5.2160088836961727</v>
      </c>
    </row>
    <row r="18" spans="1:5" ht="24.75">
      <c r="A18" s="8" t="s">
        <v>399</v>
      </c>
      <c r="B18" s="8" t="s">
        <v>253</v>
      </c>
      <c r="C18" s="8" t="s">
        <v>386</v>
      </c>
      <c r="D18" s="8" t="s">
        <v>1825</v>
      </c>
      <c r="E18" s="8">
        <v>1.1877999692164749</v>
      </c>
    </row>
    <row r="19" spans="1:5" ht="24.75">
      <c r="A19" s="8" t="s">
        <v>399</v>
      </c>
      <c r="B19" s="8" t="s">
        <v>253</v>
      </c>
      <c r="C19" s="8" t="s">
        <v>386</v>
      </c>
      <c r="D19" s="8" t="s">
        <v>1826</v>
      </c>
      <c r="E19" s="8">
        <v>3.9219819197963588</v>
      </c>
    </row>
    <row r="20" spans="1:5" ht="24.75">
      <c r="A20" s="8" t="s">
        <v>399</v>
      </c>
      <c r="B20" s="8" t="s">
        <v>253</v>
      </c>
      <c r="C20" s="8" t="s">
        <v>386</v>
      </c>
      <c r="D20" s="8" t="s">
        <v>1827</v>
      </c>
      <c r="E20" s="8">
        <v>0.16415823629113546</v>
      </c>
    </row>
    <row r="21" spans="1:5">
      <c r="A21" s="1" t="s">
        <v>246</v>
      </c>
      <c r="B21" s="1" t="s">
        <v>246</v>
      </c>
      <c r="C21" s="1">
        <f>SUBTOTAL(103,Elements13_3_581[Elemento])</f>
        <v>14</v>
      </c>
      <c r="D21" s="1" t="s">
        <v>246</v>
      </c>
      <c r="E21" s="1">
        <f>SUBTOTAL(109,Elements13_3_581[Totais:])</f>
        <v>21.436623764501487</v>
      </c>
    </row>
  </sheetData>
  <mergeCells count="3">
    <mergeCell ref="A1:E2"/>
    <mergeCell ref="A4:E4"/>
    <mergeCell ref="A5:E5"/>
  </mergeCells>
  <hyperlinks>
    <hyperlink ref="A1" location="'13.3.58'!A1" display="TUBO PVC, SÉRIE R, ÁGUA PLUVIAL, DN 100 MM, FORNECIDO E INSTALADO EM RAMAL DE ENCAMINHAMENTO. AF_06/2022" xr:uid="{00000000-0004-0000-7A00-000000000000}"/>
    <hyperlink ref="B1" location="'13.3.58'!A1" display="TUBO PVC, SÉRIE R, ÁGUA PLUVIAL, DN 100 MM, FORNECIDO E INSTALADO EM RAMAL DE ENCAMINHAMENTO. AF_06/2022" xr:uid="{00000000-0004-0000-7A00-000001000000}"/>
    <hyperlink ref="C1" location="'13.3.58'!A1" display="TUBO PVC, SÉRIE R, ÁGUA PLUVIAL, DN 100 MM, FORNECIDO E INSTALADO EM RAMAL DE ENCAMINHAMENTO. AF_06/2022" xr:uid="{00000000-0004-0000-7A00-000002000000}"/>
    <hyperlink ref="D1" location="'13.3.58'!A1" display="TUBO PVC, SÉRIE R, ÁGUA PLUVIAL, DN 100 MM, FORNECIDO E INSTALADO EM RAMAL DE ENCAMINHAMENTO. AF_06/2022" xr:uid="{00000000-0004-0000-7A00-000003000000}"/>
    <hyperlink ref="E1" location="'13.3.58'!A1" display="TUBO PVC, SÉRIE R, ÁGUA PLUVIAL, DN 100 MM, FORNECIDO E INSTALADO EM RAMAL DE ENCAMINHAMENTO. AF_06/2022" xr:uid="{00000000-0004-0000-7A00-000004000000}"/>
    <hyperlink ref="A2" location="'13.3.58'!A1" display="TUBO PVC, SÉRIE R, ÁGUA PLUVIAL, DN 100 MM, FORNECIDO E INSTALADO EM RAMAL DE ENCAMINHAMENTO. AF_06/2022" xr:uid="{00000000-0004-0000-7A00-000005000000}"/>
    <hyperlink ref="B2" location="'13.3.58'!A1" display="TUBO PVC, SÉRIE R, ÁGUA PLUVIAL, DN 100 MM, FORNECIDO E INSTALADO EM RAMAL DE ENCAMINHAMENTO. AF_06/2022" xr:uid="{00000000-0004-0000-7A00-000006000000}"/>
    <hyperlink ref="C2" location="'13.3.58'!A1" display="TUBO PVC, SÉRIE R, ÁGUA PLUVIAL, DN 100 MM, FORNECIDO E INSTALADO EM RAMAL DE ENCAMINHAMENTO. AF_06/2022" xr:uid="{00000000-0004-0000-7A00-000007000000}"/>
    <hyperlink ref="D2" location="'13.3.58'!A1" display="TUBO PVC, SÉRIE R, ÁGUA PLUVIAL, DN 100 MM, FORNECIDO E INSTALADO EM RAMAL DE ENCAMINHAMENTO. AF_06/2022" xr:uid="{00000000-0004-0000-7A00-000008000000}"/>
    <hyperlink ref="E2" location="'13.3.58'!A1" display="TUBO PVC, SÉRIE R, ÁGUA PLUVIAL, DN 100 MM, FORNECIDO E INSTALADO EM RAMAL DE ENCAMINHAMENTO. AF_06/2022" xr:uid="{00000000-0004-0000-7A00-000009000000}"/>
    <hyperlink ref="A4" location="'13.3.58'!A1" display="Tubulação" xr:uid="{00000000-0004-0000-7A00-00000A000000}"/>
    <hyperlink ref="B4" location="'13.3.58'!A1" display="Tubulação" xr:uid="{00000000-0004-0000-7A00-00000B000000}"/>
    <hyperlink ref="C4" location="'13.3.58'!A1" display="Tubulação" xr:uid="{00000000-0004-0000-7A00-00000C000000}"/>
    <hyperlink ref="D4" location="'13.3.58'!A1" display="Tubulação" xr:uid="{00000000-0004-0000-7A00-00000D000000}"/>
    <hyperlink ref="E4" location="'13.3.58'!A1" display="Tubulação" xr:uid="{00000000-0004-0000-7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B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227</v>
      </c>
      <c r="B1" s="20" t="s">
        <v>227</v>
      </c>
      <c r="C1" s="20" t="s">
        <v>227</v>
      </c>
      <c r="D1" s="20" t="s">
        <v>227</v>
      </c>
      <c r="E1" s="20" t="s">
        <v>227</v>
      </c>
    </row>
    <row r="2" spans="1:5">
      <c r="A2" s="20" t="s">
        <v>227</v>
      </c>
      <c r="B2" s="20" t="s">
        <v>227</v>
      </c>
      <c r="C2" s="20" t="s">
        <v>227</v>
      </c>
      <c r="D2" s="20" t="s">
        <v>227</v>
      </c>
      <c r="E2" s="20" t="s">
        <v>227</v>
      </c>
    </row>
    <row r="4" spans="1:5">
      <c r="A4" s="15" t="s">
        <v>298</v>
      </c>
      <c r="B4" s="15" t="s">
        <v>298</v>
      </c>
      <c r="C4" s="15" t="s">
        <v>298</v>
      </c>
      <c r="D4" s="15" t="s">
        <v>298</v>
      </c>
      <c r="E4" s="15" t="s">
        <v>298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365</v>
      </c>
      <c r="D7" s="8" t="s">
        <v>1687</v>
      </c>
      <c r="E7" s="8">
        <v>4.7397436230623162</v>
      </c>
    </row>
    <row r="8" spans="1:5" ht="24.75">
      <c r="A8" s="8" t="s">
        <v>399</v>
      </c>
      <c r="B8" s="8" t="s">
        <v>253</v>
      </c>
      <c r="C8" s="8" t="s">
        <v>365</v>
      </c>
      <c r="D8" s="8" t="s">
        <v>1688</v>
      </c>
      <c r="E8" s="8">
        <v>4.4529956725323707</v>
      </c>
    </row>
    <row r="9" spans="1:5" ht="24.75">
      <c r="A9" s="8" t="s">
        <v>399</v>
      </c>
      <c r="B9" s="8" t="s">
        <v>253</v>
      </c>
      <c r="C9" s="8" t="s">
        <v>365</v>
      </c>
      <c r="D9" s="8" t="s">
        <v>1689</v>
      </c>
      <c r="E9" s="8">
        <v>4.3460054379059558</v>
      </c>
    </row>
    <row r="10" spans="1:5" ht="24.75">
      <c r="A10" s="8" t="s">
        <v>399</v>
      </c>
      <c r="B10" s="8" t="s">
        <v>253</v>
      </c>
      <c r="C10" s="8" t="s">
        <v>365</v>
      </c>
      <c r="D10" s="8" t="s">
        <v>1690</v>
      </c>
      <c r="E10" s="8">
        <v>4.173548495804253</v>
      </c>
    </row>
    <row r="11" spans="1:5">
      <c r="A11" s="1" t="s">
        <v>246</v>
      </c>
      <c r="B11" s="1" t="s">
        <v>246</v>
      </c>
      <c r="C11" s="1">
        <f>SUBTOTAL(103,Elements13_3_591[Elemento])</f>
        <v>4</v>
      </c>
      <c r="D11" s="1" t="s">
        <v>246</v>
      </c>
      <c r="E11" s="1">
        <f>SUBTOTAL(109,Elements13_3_591[Totais:])</f>
        <v>17.712293229304898</v>
      </c>
    </row>
  </sheetData>
  <mergeCells count="3">
    <mergeCell ref="A1:E2"/>
    <mergeCell ref="A4:E4"/>
    <mergeCell ref="A5:E5"/>
  </mergeCells>
  <hyperlinks>
    <hyperlink ref="A1" location="'13.3.59'!A1" display="ASSENTAMENTO DE TUBOS DE POLIETILENO,COM DE ACIMA DE 180MM A 225MM,INCLUSIVE TESTE HIDROSTATICO,EXCLUSIVE SOLDA DAS JUNT AS E FORNECIMENTO DE TUBOS E DE CONEXOES" xr:uid="{00000000-0004-0000-7B00-000000000000}"/>
    <hyperlink ref="B1" location="'13.3.59'!A1" display="ASSENTAMENTO DE TUBOS DE POLIETILENO,COM DE ACIMA DE 180MM A 225MM,INCLUSIVE TESTE HIDROSTATICO,EXCLUSIVE SOLDA DAS JUNT AS E FORNECIMENTO DE TUBOS E DE CONEXOES" xr:uid="{00000000-0004-0000-7B00-000001000000}"/>
    <hyperlink ref="C1" location="'13.3.59'!A1" display="ASSENTAMENTO DE TUBOS DE POLIETILENO,COM DE ACIMA DE 180MM A 225MM,INCLUSIVE TESTE HIDROSTATICO,EXCLUSIVE SOLDA DAS JUNT AS E FORNECIMENTO DE TUBOS E DE CONEXOES" xr:uid="{00000000-0004-0000-7B00-000002000000}"/>
    <hyperlink ref="D1" location="'13.3.59'!A1" display="ASSENTAMENTO DE TUBOS DE POLIETILENO,COM DE ACIMA DE 180MM A 225MM,INCLUSIVE TESTE HIDROSTATICO,EXCLUSIVE SOLDA DAS JUNT AS E FORNECIMENTO DE TUBOS E DE CONEXOES" xr:uid="{00000000-0004-0000-7B00-000003000000}"/>
    <hyperlink ref="E1" location="'13.3.59'!A1" display="ASSENTAMENTO DE TUBOS DE POLIETILENO,COM DE ACIMA DE 180MM A 225MM,INCLUSIVE TESTE HIDROSTATICO,EXCLUSIVE SOLDA DAS JUNT AS E FORNECIMENTO DE TUBOS E DE CONEXOES" xr:uid="{00000000-0004-0000-7B00-000004000000}"/>
    <hyperlink ref="A2" location="'13.3.59'!A1" display="ASSENTAMENTO DE TUBOS DE POLIETILENO,COM DE ACIMA DE 180MM A 225MM,INCLUSIVE TESTE HIDROSTATICO,EXCLUSIVE SOLDA DAS JUNT AS E FORNECIMENTO DE TUBOS E DE CONEXOES" xr:uid="{00000000-0004-0000-7B00-000005000000}"/>
    <hyperlink ref="B2" location="'13.3.59'!A1" display="ASSENTAMENTO DE TUBOS DE POLIETILENO,COM DE ACIMA DE 180MM A 225MM,INCLUSIVE TESTE HIDROSTATICO,EXCLUSIVE SOLDA DAS JUNT AS E FORNECIMENTO DE TUBOS E DE CONEXOES" xr:uid="{00000000-0004-0000-7B00-000006000000}"/>
    <hyperlink ref="C2" location="'13.3.59'!A1" display="ASSENTAMENTO DE TUBOS DE POLIETILENO,COM DE ACIMA DE 180MM A 225MM,INCLUSIVE TESTE HIDROSTATICO,EXCLUSIVE SOLDA DAS JUNT AS E FORNECIMENTO DE TUBOS E DE CONEXOES" xr:uid="{00000000-0004-0000-7B00-000007000000}"/>
    <hyperlink ref="D2" location="'13.3.59'!A1" display="ASSENTAMENTO DE TUBOS DE POLIETILENO,COM DE ACIMA DE 180MM A 225MM,INCLUSIVE TESTE HIDROSTATICO,EXCLUSIVE SOLDA DAS JUNT AS E FORNECIMENTO DE TUBOS E DE CONEXOES" xr:uid="{00000000-0004-0000-7B00-000008000000}"/>
    <hyperlink ref="E2" location="'13.3.59'!A1" display="ASSENTAMENTO DE TUBOS DE POLIETILENO,COM DE ACIMA DE 180MM A 225MM,INCLUSIVE TESTE HIDROSTATICO,EXCLUSIVE SOLDA DAS JUNT AS E FORNECIMENTO DE TUBOS E DE CONEXOES" xr:uid="{00000000-0004-0000-7B00-000009000000}"/>
    <hyperlink ref="A4" location="'13.3.59'!A1" display="Tubulação" xr:uid="{00000000-0004-0000-7B00-00000A000000}"/>
    <hyperlink ref="B4" location="'13.3.59'!A1" display="Tubulação" xr:uid="{00000000-0004-0000-7B00-00000B000000}"/>
    <hyperlink ref="C4" location="'13.3.59'!A1" display="Tubulação" xr:uid="{00000000-0004-0000-7B00-00000C000000}"/>
    <hyperlink ref="D4" location="'13.3.59'!A1" display="Tubulação" xr:uid="{00000000-0004-0000-7B00-00000D000000}"/>
    <hyperlink ref="E4" location="'13.3.59'!A1" display="Tubulação" xr:uid="{00000000-0004-0000-7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C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230</v>
      </c>
      <c r="B1" s="20" t="s">
        <v>230</v>
      </c>
      <c r="C1" s="20" t="s">
        <v>230</v>
      </c>
      <c r="D1" s="20" t="s">
        <v>230</v>
      </c>
      <c r="E1" s="20" t="s">
        <v>230</v>
      </c>
    </row>
    <row r="2" spans="1:5">
      <c r="A2" s="20" t="s">
        <v>230</v>
      </c>
      <c r="B2" s="20" t="s">
        <v>230</v>
      </c>
      <c r="C2" s="20" t="s">
        <v>230</v>
      </c>
      <c r="D2" s="20" t="s">
        <v>230</v>
      </c>
      <c r="E2" s="20" t="s">
        <v>230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1828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1829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1830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1831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1832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1833</v>
      </c>
      <c r="E12" s="8">
        <v>1</v>
      </c>
    </row>
    <row r="13" spans="1:5">
      <c r="A13" s="1" t="s">
        <v>246</v>
      </c>
      <c r="B13" s="1" t="s">
        <v>246</v>
      </c>
      <c r="C13" s="1">
        <f>SUBTOTAL(103,Elements13_3_601[Elemento])</f>
        <v>6</v>
      </c>
      <c r="D13" s="1" t="s">
        <v>246</v>
      </c>
      <c r="E13" s="1">
        <f>SUBTOTAL(109,Elements13_3_601[Totais:])</f>
        <v>6</v>
      </c>
    </row>
  </sheetData>
  <mergeCells count="3">
    <mergeCell ref="A1:E2"/>
    <mergeCell ref="A4:E4"/>
    <mergeCell ref="A5:E5"/>
  </mergeCells>
  <hyperlinks>
    <hyperlink ref="A1" location="'13.3.60'!A1" display="JUNÇÃO SIMPLES, PVC, SERIE NORMAL, ESGOTO PREDIAL, DN 100 X 100 MM, JUNTA ELÁSTICA, FORNECIDO E INSTALADO EM PRUMADA DE ESGOTO SANITÁRIO OU VENTILAÇÃO. AF_08/2022" xr:uid="{00000000-0004-0000-7C00-000000000000}"/>
    <hyperlink ref="B1" location="'13.3.60'!A1" display="JUNÇÃO SIMPLES, PVC, SERIE NORMAL, ESGOTO PREDIAL, DN 100 X 100 MM, JUNTA ELÁSTICA, FORNECIDO E INSTALADO EM PRUMADA DE ESGOTO SANITÁRIO OU VENTILAÇÃO. AF_08/2022" xr:uid="{00000000-0004-0000-7C00-000001000000}"/>
    <hyperlink ref="C1" location="'13.3.60'!A1" display="JUNÇÃO SIMPLES, PVC, SERIE NORMAL, ESGOTO PREDIAL, DN 100 X 100 MM, JUNTA ELÁSTICA, FORNECIDO E INSTALADO EM PRUMADA DE ESGOTO SANITÁRIO OU VENTILAÇÃO. AF_08/2022" xr:uid="{00000000-0004-0000-7C00-000002000000}"/>
    <hyperlink ref="D1" location="'13.3.60'!A1" display="JUNÇÃO SIMPLES, PVC, SERIE NORMAL, ESGOTO PREDIAL, DN 100 X 100 MM, JUNTA ELÁSTICA, FORNECIDO E INSTALADO EM PRUMADA DE ESGOTO SANITÁRIO OU VENTILAÇÃO. AF_08/2022" xr:uid="{00000000-0004-0000-7C00-000003000000}"/>
    <hyperlink ref="E1" location="'13.3.60'!A1" display="JUNÇÃO SIMPLES, PVC, SERIE NORMAL, ESGOTO PREDIAL, DN 100 X 100 MM, JUNTA ELÁSTICA, FORNECIDO E INSTALADO EM PRUMADA DE ESGOTO SANITÁRIO OU VENTILAÇÃO. AF_08/2022" xr:uid="{00000000-0004-0000-7C00-000004000000}"/>
    <hyperlink ref="A2" location="'13.3.60'!A1" display="JUNÇÃO SIMPLES, PVC, SERIE NORMAL, ESGOTO PREDIAL, DN 100 X 100 MM, JUNTA ELÁSTICA, FORNECIDO E INSTALADO EM PRUMADA DE ESGOTO SANITÁRIO OU VENTILAÇÃO. AF_08/2022" xr:uid="{00000000-0004-0000-7C00-000005000000}"/>
    <hyperlink ref="B2" location="'13.3.60'!A1" display="JUNÇÃO SIMPLES, PVC, SERIE NORMAL, ESGOTO PREDIAL, DN 100 X 100 MM, JUNTA ELÁSTICA, FORNECIDO E INSTALADO EM PRUMADA DE ESGOTO SANITÁRIO OU VENTILAÇÃO. AF_08/2022" xr:uid="{00000000-0004-0000-7C00-000006000000}"/>
    <hyperlink ref="C2" location="'13.3.60'!A1" display="JUNÇÃO SIMPLES, PVC, SERIE NORMAL, ESGOTO PREDIAL, DN 100 X 100 MM, JUNTA ELÁSTICA, FORNECIDO E INSTALADO EM PRUMADA DE ESGOTO SANITÁRIO OU VENTILAÇÃO. AF_08/2022" xr:uid="{00000000-0004-0000-7C00-000007000000}"/>
    <hyperlink ref="D2" location="'13.3.60'!A1" display="JUNÇÃO SIMPLES, PVC, SERIE NORMAL, ESGOTO PREDIAL, DN 100 X 100 MM, JUNTA ELÁSTICA, FORNECIDO E INSTALADO EM PRUMADA DE ESGOTO SANITÁRIO OU VENTILAÇÃO. AF_08/2022" xr:uid="{00000000-0004-0000-7C00-000008000000}"/>
    <hyperlink ref="E2" location="'13.3.60'!A1" display="JUNÇÃO SIMPLES, PVC, SERIE NORMAL, ESGOTO PREDIAL, DN 100 X 100 MM, JUNTA ELÁSTICA, FORNECIDO E INSTALADO EM PRUMADA DE ESGOTO SANITÁRIO OU VENTILAÇÃO. AF_08/2022" xr:uid="{00000000-0004-0000-7C00-000009000000}"/>
    <hyperlink ref="A4" location="'13.3.60'!A1" display="Conexões de tubo (Afastamento)" xr:uid="{00000000-0004-0000-7C00-00000A000000}"/>
    <hyperlink ref="B4" location="'13.3.60'!A1" display="Conexões de tubo (Afastamento)" xr:uid="{00000000-0004-0000-7C00-00000B000000}"/>
    <hyperlink ref="C4" location="'13.3.60'!A1" display="Conexões de tubo (Afastamento)" xr:uid="{00000000-0004-0000-7C00-00000C000000}"/>
    <hyperlink ref="D4" location="'13.3.60'!A1" display="Conexões de tubo (Afastamento)" xr:uid="{00000000-0004-0000-7C00-00000D000000}"/>
    <hyperlink ref="E4" location="'13.3.60'!A1" display="Conexões de tubo (Afastamento)" xr:uid="{00000000-0004-0000-7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D00-000000000000}">
  <dimension ref="A1:E3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233</v>
      </c>
      <c r="B1" s="20" t="s">
        <v>233</v>
      </c>
      <c r="C1" s="20" t="s">
        <v>233</v>
      </c>
      <c r="D1" s="20" t="s">
        <v>233</v>
      </c>
      <c r="E1" s="20" t="s">
        <v>233</v>
      </c>
    </row>
    <row r="2" spans="1:5">
      <c r="A2" s="20" t="s">
        <v>233</v>
      </c>
      <c r="B2" s="20" t="s">
        <v>233</v>
      </c>
      <c r="C2" s="20" t="s">
        <v>233</v>
      </c>
      <c r="D2" s="20" t="s">
        <v>233</v>
      </c>
      <c r="E2" s="20" t="s">
        <v>233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1834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1835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1836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1837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1838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1839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1840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1841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1842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1843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1844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1845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1846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1847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1848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1849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1850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1851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1852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1853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1854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1855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1856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1857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1858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1859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1860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1861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1862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1863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1864</v>
      </c>
      <c r="E37" s="8">
        <v>1</v>
      </c>
    </row>
    <row r="38" spans="1:5">
      <c r="A38" s="1" t="s">
        <v>246</v>
      </c>
      <c r="B38" s="1" t="s">
        <v>246</v>
      </c>
      <c r="C38" s="1">
        <f>SUBTOTAL(103,Elements13_3_611[Elemento])</f>
        <v>31</v>
      </c>
      <c r="D38" s="1" t="s">
        <v>246</v>
      </c>
      <c r="E38" s="1">
        <f>SUBTOTAL(109,Elements13_3_611[Totais:])</f>
        <v>31</v>
      </c>
    </row>
  </sheetData>
  <mergeCells count="3">
    <mergeCell ref="A1:E2"/>
    <mergeCell ref="A4:E4"/>
    <mergeCell ref="A5:E5"/>
  </mergeCells>
  <hyperlinks>
    <hyperlink ref="A1" location="'13.3.61'!A1" display="JUNÇÃO DE REDUÇÃO INVERTIDA, PVC, SÉRIE NORMAL, ESGOTO PREDIAL, DN 100 X 50 MM, JUNTA ELÁSTICA, FORNECIDO E INSTALADO EM RAMAL DE DESCARGA OU RAMAL DE ESGOTO SANITÁRIO. AF_08/2022" xr:uid="{00000000-0004-0000-7D00-000000000000}"/>
    <hyperlink ref="B1" location="'13.3.61'!A1" display="JUNÇÃO DE REDUÇÃO INVERTIDA, PVC, SÉRIE NORMAL, ESGOTO PREDIAL, DN 100 X 50 MM, JUNTA ELÁSTICA, FORNECIDO E INSTALADO EM RAMAL DE DESCARGA OU RAMAL DE ESGOTO SANITÁRIO. AF_08/2022" xr:uid="{00000000-0004-0000-7D00-000001000000}"/>
    <hyperlink ref="C1" location="'13.3.61'!A1" display="JUNÇÃO DE REDUÇÃO INVERTIDA, PVC, SÉRIE NORMAL, ESGOTO PREDIAL, DN 100 X 50 MM, JUNTA ELÁSTICA, FORNECIDO E INSTALADO EM RAMAL DE DESCARGA OU RAMAL DE ESGOTO SANITÁRIO. AF_08/2022" xr:uid="{00000000-0004-0000-7D00-000002000000}"/>
    <hyperlink ref="D1" location="'13.3.61'!A1" display="JUNÇÃO DE REDUÇÃO INVERTIDA, PVC, SÉRIE NORMAL, ESGOTO PREDIAL, DN 100 X 50 MM, JUNTA ELÁSTICA, FORNECIDO E INSTALADO EM RAMAL DE DESCARGA OU RAMAL DE ESGOTO SANITÁRIO. AF_08/2022" xr:uid="{00000000-0004-0000-7D00-000003000000}"/>
    <hyperlink ref="E1" location="'13.3.61'!A1" display="JUNÇÃO DE REDUÇÃO INVERTIDA, PVC, SÉRIE NORMAL, ESGOTO PREDIAL, DN 100 X 50 MM, JUNTA ELÁSTICA, FORNECIDO E INSTALADO EM RAMAL DE DESCARGA OU RAMAL DE ESGOTO SANITÁRIO. AF_08/2022" xr:uid="{00000000-0004-0000-7D00-000004000000}"/>
    <hyperlink ref="A2" location="'13.3.61'!A1" display="JUNÇÃO DE REDUÇÃO INVERTIDA, PVC, SÉRIE NORMAL, ESGOTO PREDIAL, DN 100 X 50 MM, JUNTA ELÁSTICA, FORNECIDO E INSTALADO EM RAMAL DE DESCARGA OU RAMAL DE ESGOTO SANITÁRIO. AF_08/2022" xr:uid="{00000000-0004-0000-7D00-000005000000}"/>
    <hyperlink ref="B2" location="'13.3.61'!A1" display="JUNÇÃO DE REDUÇÃO INVERTIDA, PVC, SÉRIE NORMAL, ESGOTO PREDIAL, DN 100 X 50 MM, JUNTA ELÁSTICA, FORNECIDO E INSTALADO EM RAMAL DE DESCARGA OU RAMAL DE ESGOTO SANITÁRIO. AF_08/2022" xr:uid="{00000000-0004-0000-7D00-000006000000}"/>
    <hyperlink ref="C2" location="'13.3.61'!A1" display="JUNÇÃO DE REDUÇÃO INVERTIDA, PVC, SÉRIE NORMAL, ESGOTO PREDIAL, DN 100 X 50 MM, JUNTA ELÁSTICA, FORNECIDO E INSTALADO EM RAMAL DE DESCARGA OU RAMAL DE ESGOTO SANITÁRIO. AF_08/2022" xr:uid="{00000000-0004-0000-7D00-000007000000}"/>
    <hyperlink ref="D2" location="'13.3.61'!A1" display="JUNÇÃO DE REDUÇÃO INVERTIDA, PVC, SÉRIE NORMAL, ESGOTO PREDIAL, DN 100 X 50 MM, JUNTA ELÁSTICA, FORNECIDO E INSTALADO EM RAMAL DE DESCARGA OU RAMAL DE ESGOTO SANITÁRIO. AF_08/2022" xr:uid="{00000000-0004-0000-7D00-000008000000}"/>
    <hyperlink ref="E2" location="'13.3.61'!A1" display="JUNÇÃO DE REDUÇÃO INVERTIDA, PVC, SÉRIE NORMAL, ESGOTO PREDIAL, DN 100 X 50 MM, JUNTA ELÁSTICA, FORNECIDO E INSTALADO EM RAMAL DE DESCARGA OU RAMAL DE ESGOTO SANITÁRIO. AF_08/2022" xr:uid="{00000000-0004-0000-7D00-000009000000}"/>
    <hyperlink ref="A4" location="'13.3.61'!A1" display="Conexões de tubo (Afastamento)" xr:uid="{00000000-0004-0000-7D00-00000A000000}"/>
    <hyperlink ref="B4" location="'13.3.61'!A1" display="Conexões de tubo (Afastamento)" xr:uid="{00000000-0004-0000-7D00-00000B000000}"/>
    <hyperlink ref="C4" location="'13.3.61'!A1" display="Conexões de tubo (Afastamento)" xr:uid="{00000000-0004-0000-7D00-00000C000000}"/>
    <hyperlink ref="D4" location="'13.3.61'!A1" display="Conexões de tubo (Afastamento)" xr:uid="{00000000-0004-0000-7D00-00000D000000}"/>
    <hyperlink ref="E4" location="'13.3.61'!A1" display="Conexões de tubo (Afastamento)" xr:uid="{00000000-0004-0000-7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E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236</v>
      </c>
      <c r="B1" s="20" t="s">
        <v>236</v>
      </c>
      <c r="C1" s="20" t="s">
        <v>236</v>
      </c>
      <c r="D1" s="20" t="s">
        <v>236</v>
      </c>
      <c r="E1" s="20" t="s">
        <v>236</v>
      </c>
    </row>
    <row r="2" spans="1:5">
      <c r="A2" s="20" t="s">
        <v>236</v>
      </c>
      <c r="B2" s="20" t="s">
        <v>236</v>
      </c>
      <c r="C2" s="20" t="s">
        <v>236</v>
      </c>
      <c r="D2" s="20" t="s">
        <v>236</v>
      </c>
      <c r="E2" s="20" t="s">
        <v>236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1865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1866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SUBTOTAL(103,Elements13_3_621[Elemento])</f>
        <v>2</v>
      </c>
      <c r="D9" s="1" t="s">
        <v>246</v>
      </c>
      <c r="E9" s="1">
        <f>SUBTOTAL(109,Elements13_3_621[Totais:])</f>
        <v>2</v>
      </c>
    </row>
  </sheetData>
  <mergeCells count="3">
    <mergeCell ref="A1:E2"/>
    <mergeCell ref="A4:E4"/>
    <mergeCell ref="A5:E5"/>
  </mergeCells>
  <hyperlinks>
    <hyperlink ref="A1" location="'13.3.62'!A1" display="Luva de correr de PVC rigido, Vinilfort, classe 12, inclusive fornecimento do material para junta (anel de borracha) com diametro nominal de 200mm. Fornecimento e assentamento." xr:uid="{00000000-0004-0000-7E00-000000000000}"/>
    <hyperlink ref="B1" location="'13.3.62'!A1" display="Luva de correr de PVC rigido, Vinilfort, classe 12, inclusive fornecimento do material para junta (anel de borracha) com diametro nominal de 200mm. Fornecimento e assentamento." xr:uid="{00000000-0004-0000-7E00-000001000000}"/>
    <hyperlink ref="C1" location="'13.3.62'!A1" display="Luva de correr de PVC rigido, Vinilfort, classe 12, inclusive fornecimento do material para junta (anel de borracha) com diametro nominal de 200mm. Fornecimento e assentamento." xr:uid="{00000000-0004-0000-7E00-000002000000}"/>
    <hyperlink ref="D1" location="'13.3.62'!A1" display="Luva de correr de PVC rigido, Vinilfort, classe 12, inclusive fornecimento do material para junta (anel de borracha) com diametro nominal de 200mm. Fornecimento e assentamento." xr:uid="{00000000-0004-0000-7E00-000003000000}"/>
    <hyperlink ref="E1" location="'13.3.62'!A1" display="Luva de correr de PVC rigido, Vinilfort, classe 12, inclusive fornecimento do material para junta (anel de borracha) com diametro nominal de 200mm. Fornecimento e assentamento." xr:uid="{00000000-0004-0000-7E00-000004000000}"/>
    <hyperlink ref="A2" location="'13.3.62'!A1" display="Luva de correr de PVC rigido, Vinilfort, classe 12, inclusive fornecimento do material para junta (anel de borracha) com diametro nominal de 200mm. Fornecimento e assentamento." xr:uid="{00000000-0004-0000-7E00-000005000000}"/>
    <hyperlink ref="B2" location="'13.3.62'!A1" display="Luva de correr de PVC rigido, Vinilfort, classe 12, inclusive fornecimento do material para junta (anel de borracha) com diametro nominal de 200mm. Fornecimento e assentamento." xr:uid="{00000000-0004-0000-7E00-000006000000}"/>
    <hyperlink ref="C2" location="'13.3.62'!A1" display="Luva de correr de PVC rigido, Vinilfort, classe 12, inclusive fornecimento do material para junta (anel de borracha) com diametro nominal de 200mm. Fornecimento e assentamento." xr:uid="{00000000-0004-0000-7E00-000007000000}"/>
    <hyperlink ref="D2" location="'13.3.62'!A1" display="Luva de correr de PVC rigido, Vinilfort, classe 12, inclusive fornecimento do material para junta (anel de borracha) com diametro nominal de 200mm. Fornecimento e assentamento." xr:uid="{00000000-0004-0000-7E00-000008000000}"/>
    <hyperlink ref="E2" location="'13.3.62'!A1" display="Luva de correr de PVC rigido, Vinilfort, classe 12, inclusive fornecimento do material para junta (anel de borracha) com diametro nominal de 200mm. Fornecimento e assentamento." xr:uid="{00000000-0004-0000-7E00-000009000000}"/>
    <hyperlink ref="A4" location="'13.3.62'!A1" display="Conexões de tubo (Afastamento)" xr:uid="{00000000-0004-0000-7E00-00000A000000}"/>
    <hyperlink ref="B4" location="'13.3.62'!A1" display="Conexões de tubo (Afastamento)" xr:uid="{00000000-0004-0000-7E00-00000B000000}"/>
    <hyperlink ref="C4" location="'13.3.62'!A1" display="Conexões de tubo (Afastamento)" xr:uid="{00000000-0004-0000-7E00-00000C000000}"/>
    <hyperlink ref="D4" location="'13.3.62'!A1" display="Conexões de tubo (Afastamento)" xr:uid="{00000000-0004-0000-7E00-00000D000000}"/>
    <hyperlink ref="E4" location="'13.3.62'!A1" display="Conexões de tubo (Afastamento)" xr:uid="{00000000-0004-0000-7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7F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238</v>
      </c>
      <c r="B1" s="20" t="s">
        <v>238</v>
      </c>
      <c r="C1" s="20" t="s">
        <v>238</v>
      </c>
      <c r="D1" s="20" t="s">
        <v>238</v>
      </c>
      <c r="E1" s="20" t="s">
        <v>238</v>
      </c>
    </row>
    <row r="2" spans="1:5">
      <c r="A2" s="20" t="s">
        <v>238</v>
      </c>
      <c r="B2" s="20" t="s">
        <v>238</v>
      </c>
      <c r="C2" s="20" t="s">
        <v>238</v>
      </c>
      <c r="D2" s="20" t="s">
        <v>238</v>
      </c>
      <c r="E2" s="20" t="s">
        <v>238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1867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1868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1869</v>
      </c>
      <c r="E9" s="8">
        <v>1</v>
      </c>
    </row>
    <row r="10" spans="1:5">
      <c r="A10" s="1" t="s">
        <v>246</v>
      </c>
      <c r="B10" s="1" t="s">
        <v>246</v>
      </c>
      <c r="C10" s="1">
        <f>SUBTOTAL(103,Elements13_3_631[Elemento])</f>
        <v>3</v>
      </c>
      <c r="D10" s="1" t="s">
        <v>246</v>
      </c>
      <c r="E10" s="1">
        <f>SUBTOTAL(109,Elements13_3_631[Totais:])</f>
        <v>3</v>
      </c>
    </row>
  </sheetData>
  <mergeCells count="3">
    <mergeCell ref="A1:E2"/>
    <mergeCell ref="A4:E4"/>
    <mergeCell ref="A5:E5"/>
  </mergeCells>
  <hyperlinks>
    <hyperlink ref="A1" location="'13.3.63'!A1" display="JUNÇÃO SIMPLES, PVC, SERIE NORMAL, ESGOTO PREDIAL, DN 50 X 50 MM, JUNTA ELÁSTICA, FORNECIDO E INSTALADO EM RAMAL DE DESCARGA OU RAMAL DE ESGOTO SANITÁRIO. AF_08/2022" xr:uid="{00000000-0004-0000-7F00-000000000000}"/>
    <hyperlink ref="B1" location="'13.3.63'!A1" display="JUNÇÃO SIMPLES, PVC, SERIE NORMAL, ESGOTO PREDIAL, DN 50 X 50 MM, JUNTA ELÁSTICA, FORNECIDO E INSTALADO EM RAMAL DE DESCARGA OU RAMAL DE ESGOTO SANITÁRIO. AF_08/2022" xr:uid="{00000000-0004-0000-7F00-000001000000}"/>
    <hyperlink ref="C1" location="'13.3.63'!A1" display="JUNÇÃO SIMPLES, PVC, SERIE NORMAL, ESGOTO PREDIAL, DN 50 X 50 MM, JUNTA ELÁSTICA, FORNECIDO E INSTALADO EM RAMAL DE DESCARGA OU RAMAL DE ESGOTO SANITÁRIO. AF_08/2022" xr:uid="{00000000-0004-0000-7F00-000002000000}"/>
    <hyperlink ref="D1" location="'13.3.63'!A1" display="JUNÇÃO SIMPLES, PVC, SERIE NORMAL, ESGOTO PREDIAL, DN 50 X 50 MM, JUNTA ELÁSTICA, FORNECIDO E INSTALADO EM RAMAL DE DESCARGA OU RAMAL DE ESGOTO SANITÁRIO. AF_08/2022" xr:uid="{00000000-0004-0000-7F00-000003000000}"/>
    <hyperlink ref="E1" location="'13.3.63'!A1" display="JUNÇÃO SIMPLES, PVC, SERIE NORMAL, ESGOTO PREDIAL, DN 50 X 50 MM, JUNTA ELÁSTICA, FORNECIDO E INSTALADO EM RAMAL DE DESCARGA OU RAMAL DE ESGOTO SANITÁRIO. AF_08/2022" xr:uid="{00000000-0004-0000-7F00-000004000000}"/>
    <hyperlink ref="A2" location="'13.3.63'!A1" display="JUNÇÃO SIMPLES, PVC, SERIE NORMAL, ESGOTO PREDIAL, DN 50 X 50 MM, JUNTA ELÁSTICA, FORNECIDO E INSTALADO EM RAMAL DE DESCARGA OU RAMAL DE ESGOTO SANITÁRIO. AF_08/2022" xr:uid="{00000000-0004-0000-7F00-000005000000}"/>
    <hyperlink ref="B2" location="'13.3.63'!A1" display="JUNÇÃO SIMPLES, PVC, SERIE NORMAL, ESGOTO PREDIAL, DN 50 X 50 MM, JUNTA ELÁSTICA, FORNECIDO E INSTALADO EM RAMAL DE DESCARGA OU RAMAL DE ESGOTO SANITÁRIO. AF_08/2022" xr:uid="{00000000-0004-0000-7F00-000006000000}"/>
    <hyperlink ref="C2" location="'13.3.63'!A1" display="JUNÇÃO SIMPLES, PVC, SERIE NORMAL, ESGOTO PREDIAL, DN 50 X 50 MM, JUNTA ELÁSTICA, FORNECIDO E INSTALADO EM RAMAL DE DESCARGA OU RAMAL DE ESGOTO SANITÁRIO. AF_08/2022" xr:uid="{00000000-0004-0000-7F00-000007000000}"/>
    <hyperlink ref="D2" location="'13.3.63'!A1" display="JUNÇÃO SIMPLES, PVC, SERIE NORMAL, ESGOTO PREDIAL, DN 50 X 50 MM, JUNTA ELÁSTICA, FORNECIDO E INSTALADO EM RAMAL DE DESCARGA OU RAMAL DE ESGOTO SANITÁRIO. AF_08/2022" xr:uid="{00000000-0004-0000-7F00-000008000000}"/>
    <hyperlink ref="E2" location="'13.3.63'!A1" display="JUNÇÃO SIMPLES, PVC, SERIE NORMAL, ESGOTO PREDIAL, DN 50 X 50 MM, JUNTA ELÁSTICA, FORNECIDO E INSTALADO EM RAMAL DE DESCARGA OU RAMAL DE ESGOTO SANITÁRIO. AF_08/2022" xr:uid="{00000000-0004-0000-7F00-000009000000}"/>
    <hyperlink ref="A4" location="'13.3.63'!A1" display="Conexões de tubo (Afastamento)" xr:uid="{00000000-0004-0000-7F00-00000A000000}"/>
    <hyperlink ref="B4" location="'13.3.63'!A1" display="Conexões de tubo (Afastamento)" xr:uid="{00000000-0004-0000-7F00-00000B000000}"/>
    <hyperlink ref="C4" location="'13.3.63'!A1" display="Conexões de tubo (Afastamento)" xr:uid="{00000000-0004-0000-7F00-00000C000000}"/>
    <hyperlink ref="D4" location="'13.3.63'!A1" display="Conexões de tubo (Afastamento)" xr:uid="{00000000-0004-0000-7F00-00000D000000}"/>
    <hyperlink ref="E4" location="'13.3.63'!A1" display="Conexões de tubo (Afastamento)" xr:uid="{00000000-0004-0000-7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57</v>
      </c>
      <c r="B2" s="5" t="s">
        <v>58</v>
      </c>
      <c r="C2" s="5" t="s">
        <v>30</v>
      </c>
      <c r="D2" s="5" t="s">
        <v>59</v>
      </c>
      <c r="E2" s="5" t="s">
        <v>16</v>
      </c>
      <c r="F2" s="5" t="s">
        <v>304</v>
      </c>
      <c r="G2" s="5">
        <v>32.348013973960001</v>
      </c>
      <c r="H2" s="5">
        <v>38.769094747791065</v>
      </c>
      <c r="I2" s="5">
        <v>465.22913697349281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12</v>
      </c>
      <c r="D8" s="8" t="s">
        <v>274</v>
      </c>
      <c r="E8" s="8">
        <v>12</v>
      </c>
    </row>
    <row r="9" spans="1:9">
      <c r="A9" s="8" t="s">
        <v>246</v>
      </c>
      <c r="B9" s="8" t="s">
        <v>246</v>
      </c>
      <c r="C9" s="8">
        <f>SUBTOTAL(109,Criteria_Summary13.3.11[Elementos])</f>
        <v>12</v>
      </c>
      <c r="D9" s="8" t="s">
        <v>246</v>
      </c>
      <c r="E9" s="8">
        <f>SUBTOTAL(109,Criteria_Summary13.3.11[Total])</f>
        <v>12</v>
      </c>
    </row>
    <row r="10" spans="1:9">
      <c r="A10" s="9" t="s">
        <v>247</v>
      </c>
      <c r="B10" s="9">
        <v>0</v>
      </c>
      <c r="C10" s="10"/>
      <c r="D10" s="10"/>
      <c r="E10" s="9">
        <v>12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12</v>
      </c>
      <c r="C16" s="18" t="s">
        <v>275</v>
      </c>
      <c r="D16" s="18" t="s">
        <v>275</v>
      </c>
      <c r="E16" s="8">
        <v>12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276</v>
      </c>
      <c r="B20" s="18" t="s">
        <v>276</v>
      </c>
      <c r="C20" s="18" t="s">
        <v>276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48.75">
      <c r="A24" s="8" t="s">
        <v>263</v>
      </c>
      <c r="B24" s="8" t="s">
        <v>271</v>
      </c>
      <c r="C24" s="8" t="s">
        <v>305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1" xr:uid="{00000000-0004-0000-0C00-000000000000}"/>
    <hyperlink ref="F2" location="'13.3.11E'!A1" display="12" xr:uid="{00000000-0004-0000-0C00-000001000000}"/>
    <hyperlink ref="E10" location="'13.3.11E'!A1" display="'13.3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61</v>
      </c>
      <c r="B2" s="5" t="s">
        <v>62</v>
      </c>
      <c r="C2" s="5" t="s">
        <v>30</v>
      </c>
      <c r="D2" s="5" t="s">
        <v>63</v>
      </c>
      <c r="E2" s="5" t="s">
        <v>16</v>
      </c>
      <c r="F2" s="5" t="s">
        <v>306</v>
      </c>
      <c r="G2" s="5">
        <v>25.143815464740001</v>
      </c>
      <c r="H2" s="5">
        <v>30.134862834490896</v>
      </c>
      <c r="I2" s="5">
        <v>391.75321684838167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13</v>
      </c>
      <c r="D8" s="8" t="s">
        <v>307</v>
      </c>
      <c r="E8" s="8">
        <v>13</v>
      </c>
    </row>
    <row r="9" spans="1:9">
      <c r="A9" s="8" t="s">
        <v>246</v>
      </c>
      <c r="B9" s="8" t="s">
        <v>246</v>
      </c>
      <c r="C9" s="8">
        <f>SUBTOTAL(109,Criteria_Summary13.3.12[Elementos])</f>
        <v>13</v>
      </c>
      <c r="D9" s="8" t="s">
        <v>246</v>
      </c>
      <c r="E9" s="8">
        <f>SUBTOTAL(109,Criteria_Summary13.3.12[Total])</f>
        <v>13</v>
      </c>
    </row>
    <row r="10" spans="1:9">
      <c r="A10" s="9" t="s">
        <v>247</v>
      </c>
      <c r="B10" s="9">
        <v>0</v>
      </c>
      <c r="C10" s="10"/>
      <c r="D10" s="10"/>
      <c r="E10" s="9">
        <v>13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13</v>
      </c>
      <c r="C16" s="18" t="s">
        <v>275</v>
      </c>
      <c r="D16" s="18" t="s">
        <v>275</v>
      </c>
      <c r="E16" s="8">
        <v>13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308</v>
      </c>
      <c r="B20" s="18" t="s">
        <v>308</v>
      </c>
      <c r="C20" s="18" t="s">
        <v>308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309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2" xr:uid="{00000000-0004-0000-0D00-000000000000}"/>
    <hyperlink ref="F2" location="'13.3.12E'!A1" display="13" xr:uid="{00000000-0004-0000-0D00-000001000000}"/>
    <hyperlink ref="E10" location="'13.3.12E'!A1" display="'13.3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65</v>
      </c>
      <c r="B2" s="5" t="s">
        <v>66</v>
      </c>
      <c r="C2" s="5" t="s">
        <v>30</v>
      </c>
      <c r="D2" s="5" t="s">
        <v>67</v>
      </c>
      <c r="E2" s="5" t="s">
        <v>16</v>
      </c>
      <c r="F2" s="5" t="s">
        <v>310</v>
      </c>
      <c r="G2" s="5">
        <v>12.056725484439999</v>
      </c>
      <c r="H2" s="5">
        <v>14.449985493101341</v>
      </c>
      <c r="I2" s="5">
        <v>57.799941972405364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</v>
      </c>
      <c r="D8" s="8" t="s">
        <v>274</v>
      </c>
      <c r="E8" s="8">
        <v>4</v>
      </c>
    </row>
    <row r="9" spans="1:9">
      <c r="A9" s="8" t="s">
        <v>246</v>
      </c>
      <c r="B9" s="8" t="s">
        <v>246</v>
      </c>
      <c r="C9" s="8">
        <f>SUBTOTAL(109,Criteria_Summary13.3.13[Elementos])</f>
        <v>4</v>
      </c>
      <c r="D9" s="8" t="s">
        <v>246</v>
      </c>
      <c r="E9" s="8">
        <f>SUBTOTAL(109,Criteria_Summary13.3.13[Total])</f>
        <v>4</v>
      </c>
    </row>
    <row r="10" spans="1:9">
      <c r="A10" s="9" t="s">
        <v>247</v>
      </c>
      <c r="B10" s="9">
        <v>0</v>
      </c>
      <c r="C10" s="10"/>
      <c r="D10" s="10"/>
      <c r="E10" s="9">
        <v>4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</v>
      </c>
      <c r="C16" s="18" t="s">
        <v>275</v>
      </c>
      <c r="D16" s="18" t="s">
        <v>275</v>
      </c>
      <c r="E16" s="8">
        <v>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308</v>
      </c>
      <c r="B24" s="18" t="s">
        <v>308</v>
      </c>
      <c r="C24" s="18" t="s">
        <v>308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311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13" xr:uid="{00000000-0004-0000-0E00-000000000000}"/>
    <hyperlink ref="F2" location="'13.3.13E'!A1" display="4" xr:uid="{00000000-0004-0000-0E00-000001000000}"/>
    <hyperlink ref="E10" location="'13.3.13E'!A1" display="'13.3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69</v>
      </c>
      <c r="B2" s="5" t="s">
        <v>70</v>
      </c>
      <c r="C2" s="5" t="s">
        <v>30</v>
      </c>
      <c r="D2" s="5" t="s">
        <v>71</v>
      </c>
      <c r="E2" s="5" t="s">
        <v>16</v>
      </c>
      <c r="F2" s="5" t="s">
        <v>280</v>
      </c>
      <c r="G2" s="5">
        <v>147.75601138947999</v>
      </c>
      <c r="H2" s="5">
        <v>177.08557965029178</v>
      </c>
      <c r="I2" s="5">
        <v>177.08557965029178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312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SUBTOTAL(109,Criteria_Summary13.3.14[Elementos])</f>
        <v>1</v>
      </c>
      <c r="D9" s="8" t="s">
        <v>246</v>
      </c>
      <c r="E9" s="8">
        <f>SUBTOTAL(109,Criteria_Summary13.3.14[Total])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312</v>
      </c>
      <c r="B13" s="15" t="s">
        <v>312</v>
      </c>
      <c r="C13" s="15" t="s">
        <v>312</v>
      </c>
      <c r="D13" s="15" t="s">
        <v>312</v>
      </c>
      <c r="E13" s="15" t="s">
        <v>312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313</v>
      </c>
      <c r="D16" s="18" t="s">
        <v>313</v>
      </c>
      <c r="E16" s="8">
        <v>1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314</v>
      </c>
      <c r="B20" s="18" t="s">
        <v>314</v>
      </c>
      <c r="C20" s="18" t="s">
        <v>314</v>
      </c>
      <c r="D20" s="8" t="s">
        <v>315</v>
      </c>
      <c r="E20" s="8" t="s">
        <v>254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3'!A1" display="13.3.14" xr:uid="{00000000-0004-0000-0F00-000000000000}"/>
    <hyperlink ref="F2" location="'13.3.14E'!A1" display="1" xr:uid="{00000000-0004-0000-0F00-000001000000}"/>
    <hyperlink ref="E10" location="'13.3.14E'!A1" display="'13.3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42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72</v>
      </c>
      <c r="B2" s="5" t="s">
        <v>73</v>
      </c>
      <c r="C2" s="5" t="s">
        <v>25</v>
      </c>
      <c r="D2" s="5" t="s">
        <v>74</v>
      </c>
      <c r="E2" s="5" t="s">
        <v>16</v>
      </c>
      <c r="F2" s="5" t="s">
        <v>316</v>
      </c>
      <c r="G2" s="5">
        <v>21.78</v>
      </c>
      <c r="H2" s="5">
        <v>26.103330000000003</v>
      </c>
      <c r="I2" s="5">
        <v>182.72331000000003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274</v>
      </c>
      <c r="E8" s="8">
        <v>2</v>
      </c>
    </row>
    <row r="9" spans="1:9">
      <c r="A9" s="8">
        <v>2</v>
      </c>
      <c r="B9" s="8" t="s">
        <v>244</v>
      </c>
      <c r="C9" s="8">
        <v>5</v>
      </c>
      <c r="D9" s="8" t="s">
        <v>274</v>
      </c>
      <c r="E9" s="8">
        <v>5</v>
      </c>
    </row>
    <row r="10" spans="1:9">
      <c r="A10" s="8" t="s">
        <v>246</v>
      </c>
      <c r="B10" s="8" t="s">
        <v>246</v>
      </c>
      <c r="C10" s="8">
        <f>SUBTOTAL(109,Criteria_Summary13.3.15[Elementos])</f>
        <v>7</v>
      </c>
      <c r="D10" s="8" t="s">
        <v>246</v>
      </c>
      <c r="E10" s="8">
        <f>SUBTOTAL(109,Criteria_Summary13.3.15[Total])</f>
        <v>7</v>
      </c>
    </row>
    <row r="11" spans="1:9">
      <c r="A11" s="9" t="s">
        <v>247</v>
      </c>
      <c r="B11" s="9">
        <v>0</v>
      </c>
      <c r="C11" s="10"/>
      <c r="D11" s="10"/>
      <c r="E11" s="9">
        <v>7</v>
      </c>
    </row>
    <row r="14" spans="1:9">
      <c r="A14" s="15" t="s">
        <v>274</v>
      </c>
      <c r="B14" s="15" t="s">
        <v>274</v>
      </c>
      <c r="C14" s="15" t="s">
        <v>274</v>
      </c>
      <c r="D14" s="15" t="s">
        <v>274</v>
      </c>
      <c r="E14" s="15" t="s">
        <v>274</v>
      </c>
    </row>
    <row r="15" spans="1:9">
      <c r="A15" s="16"/>
      <c r="B15" s="16"/>
      <c r="C15" s="16"/>
      <c r="D15" s="16"/>
      <c r="E15" s="16"/>
    </row>
    <row r="16" spans="1:9">
      <c r="A16" s="11" t="s">
        <v>241</v>
      </c>
      <c r="B16" s="11" t="s">
        <v>242</v>
      </c>
      <c r="C16" s="17" t="s">
        <v>248</v>
      </c>
      <c r="D16" s="17" t="s">
        <v>248</v>
      </c>
      <c r="E16" s="11" t="s">
        <v>9</v>
      </c>
    </row>
    <row r="17" spans="1:5">
      <c r="A17" s="8" t="s">
        <v>244</v>
      </c>
      <c r="B17" s="8">
        <v>2</v>
      </c>
      <c r="C17" s="18" t="s">
        <v>275</v>
      </c>
      <c r="D17" s="18" t="s">
        <v>275</v>
      </c>
      <c r="E17" s="8">
        <v>2</v>
      </c>
    </row>
    <row r="19" spans="1:5">
      <c r="A19" s="19" t="s">
        <v>250</v>
      </c>
      <c r="B19" s="19" t="s">
        <v>250</v>
      </c>
      <c r="C19" s="19" t="s">
        <v>250</v>
      </c>
      <c r="D19" s="19" t="s">
        <v>250</v>
      </c>
      <c r="E19" s="19" t="s">
        <v>250</v>
      </c>
    </row>
    <row r="20" spans="1:5">
      <c r="A20" s="17" t="s">
        <v>251</v>
      </c>
      <c r="B20" s="17" t="s">
        <v>251</v>
      </c>
      <c r="C20" s="17" t="s">
        <v>251</v>
      </c>
      <c r="D20" s="11" t="s">
        <v>252</v>
      </c>
      <c r="E20" s="11"/>
    </row>
    <row r="21" spans="1:5">
      <c r="A21" s="8"/>
      <c r="B21" s="8"/>
      <c r="C21" s="8"/>
      <c r="D21" s="8" t="s">
        <v>253</v>
      </c>
      <c r="E21" s="8" t="s">
        <v>254</v>
      </c>
    </row>
    <row r="23" spans="1:5">
      <c r="A23" s="19" t="s">
        <v>255</v>
      </c>
      <c r="B23" s="19" t="s">
        <v>255</v>
      </c>
      <c r="C23" s="19" t="s">
        <v>255</v>
      </c>
      <c r="D23" s="19" t="s">
        <v>255</v>
      </c>
      <c r="E23" s="19" t="s">
        <v>255</v>
      </c>
    </row>
    <row r="24" spans="1:5">
      <c r="A24" s="17" t="s">
        <v>256</v>
      </c>
      <c r="B24" s="11"/>
      <c r="C24" s="11"/>
      <c r="D24" s="11" t="s">
        <v>241</v>
      </c>
      <c r="E24" s="11"/>
    </row>
    <row r="25" spans="1:5">
      <c r="A25" s="18" t="s">
        <v>317</v>
      </c>
      <c r="B25" s="18" t="s">
        <v>317</v>
      </c>
      <c r="C25" s="18" t="s">
        <v>317</v>
      </c>
      <c r="D25" s="8" t="s">
        <v>277</v>
      </c>
      <c r="E25" s="8" t="s">
        <v>254</v>
      </c>
    </row>
    <row r="27" spans="1:5">
      <c r="A27" s="19" t="s">
        <v>259</v>
      </c>
      <c r="B27" s="19" t="s">
        <v>259</v>
      </c>
      <c r="C27" s="19" t="s">
        <v>259</v>
      </c>
      <c r="D27" s="19" t="s">
        <v>259</v>
      </c>
      <c r="E27" s="19" t="s">
        <v>259</v>
      </c>
    </row>
    <row r="28" spans="1:5">
      <c r="A28" s="11" t="s">
        <v>241</v>
      </c>
      <c r="B28" s="11" t="s">
        <v>260</v>
      </c>
      <c r="C28" s="11" t="s">
        <v>261</v>
      </c>
      <c r="D28" s="11" t="s">
        <v>262</v>
      </c>
      <c r="E28" s="11"/>
    </row>
    <row r="29" spans="1:5" ht="36.75">
      <c r="A29" s="8" t="s">
        <v>263</v>
      </c>
      <c r="B29" s="8" t="s">
        <v>271</v>
      </c>
      <c r="C29" s="8" t="s">
        <v>318</v>
      </c>
      <c r="D29" s="8" t="s">
        <v>279</v>
      </c>
      <c r="E29" s="8" t="s">
        <v>267</v>
      </c>
    </row>
    <row r="31" spans="1:5">
      <c r="A31" s="15" t="s">
        <v>274</v>
      </c>
      <c r="B31" s="15" t="s">
        <v>274</v>
      </c>
      <c r="C31" s="15" t="s">
        <v>274</v>
      </c>
      <c r="D31" s="15" t="s">
        <v>274</v>
      </c>
      <c r="E31" s="15" t="s">
        <v>274</v>
      </c>
    </row>
    <row r="32" spans="1:5">
      <c r="A32" s="16"/>
      <c r="B32" s="16"/>
      <c r="C32" s="16"/>
      <c r="D32" s="16"/>
      <c r="E32" s="16"/>
    </row>
    <row r="33" spans="1:5">
      <c r="A33" s="11" t="s">
        <v>241</v>
      </c>
      <c r="B33" s="11" t="s">
        <v>242</v>
      </c>
      <c r="C33" s="17" t="s">
        <v>248</v>
      </c>
      <c r="D33" s="17" t="s">
        <v>248</v>
      </c>
      <c r="E33" s="11" t="s">
        <v>9</v>
      </c>
    </row>
    <row r="34" spans="1:5">
      <c r="A34" s="8" t="s">
        <v>244</v>
      </c>
      <c r="B34" s="8">
        <v>5</v>
      </c>
      <c r="C34" s="18" t="s">
        <v>275</v>
      </c>
      <c r="D34" s="18" t="s">
        <v>275</v>
      </c>
      <c r="E34" s="8">
        <v>5</v>
      </c>
    </row>
    <row r="36" spans="1:5">
      <c r="A36" s="19" t="s">
        <v>250</v>
      </c>
      <c r="B36" s="19" t="s">
        <v>250</v>
      </c>
      <c r="C36" s="19" t="s">
        <v>250</v>
      </c>
      <c r="D36" s="19" t="s">
        <v>250</v>
      </c>
      <c r="E36" s="19" t="s">
        <v>250</v>
      </c>
    </row>
    <row r="37" spans="1:5">
      <c r="A37" s="17" t="s">
        <v>251</v>
      </c>
      <c r="B37" s="17" t="s">
        <v>251</v>
      </c>
      <c r="C37" s="17" t="s">
        <v>251</v>
      </c>
      <c r="D37" s="11" t="s">
        <v>252</v>
      </c>
      <c r="E37" s="11"/>
    </row>
    <row r="38" spans="1:5">
      <c r="A38" s="8"/>
      <c r="B38" s="8"/>
      <c r="C38" s="8"/>
      <c r="D38" s="8" t="s">
        <v>253</v>
      </c>
      <c r="E38" s="8" t="s">
        <v>254</v>
      </c>
    </row>
    <row r="40" spans="1:5">
      <c r="A40" s="19" t="s">
        <v>259</v>
      </c>
      <c r="B40" s="19" t="s">
        <v>259</v>
      </c>
      <c r="C40" s="19" t="s">
        <v>259</v>
      </c>
      <c r="D40" s="19" t="s">
        <v>259</v>
      </c>
      <c r="E40" s="19" t="s">
        <v>259</v>
      </c>
    </row>
    <row r="41" spans="1:5">
      <c r="A41" s="11" t="s">
        <v>241</v>
      </c>
      <c r="B41" s="11" t="s">
        <v>260</v>
      </c>
      <c r="C41" s="11" t="s">
        <v>261</v>
      </c>
      <c r="D41" s="11" t="s">
        <v>262</v>
      </c>
      <c r="E41" s="11"/>
    </row>
    <row r="42" spans="1:5" ht="48.75">
      <c r="A42" s="8" t="s">
        <v>263</v>
      </c>
      <c r="B42" s="8" t="s">
        <v>271</v>
      </c>
      <c r="C42" s="8" t="s">
        <v>319</v>
      </c>
      <c r="D42" s="8" t="s">
        <v>279</v>
      </c>
      <c r="E42" s="8" t="s">
        <v>267</v>
      </c>
    </row>
  </sheetData>
  <mergeCells count="19">
    <mergeCell ref="C34:D34"/>
    <mergeCell ref="A36:E36"/>
    <mergeCell ref="A37:C37"/>
    <mergeCell ref="A40:E40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3'!A1" display="13.3.15" xr:uid="{00000000-0004-0000-1000-000000000000}"/>
    <hyperlink ref="F2" location="'13.3.15E'!A1" display="7" xr:uid="{00000000-0004-0000-1000-000001000000}"/>
    <hyperlink ref="E11" location="'13.3.15E'!A1" display="'13.3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76</v>
      </c>
      <c r="B2" s="5" t="s">
        <v>77</v>
      </c>
      <c r="C2" s="5" t="s">
        <v>25</v>
      </c>
      <c r="D2" s="5" t="s">
        <v>78</v>
      </c>
      <c r="E2" s="5" t="s">
        <v>16</v>
      </c>
      <c r="F2" s="5" t="s">
        <v>320</v>
      </c>
      <c r="G2" s="5">
        <v>27.04513</v>
      </c>
      <c r="H2" s="5">
        <v>32.413588305000005</v>
      </c>
      <c r="I2" s="5">
        <v>486.20382457500006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15</v>
      </c>
      <c r="D8" s="8" t="s">
        <v>245</v>
      </c>
      <c r="E8" s="8">
        <v>15</v>
      </c>
    </row>
    <row r="9" spans="1:9">
      <c r="A9" s="8" t="s">
        <v>246</v>
      </c>
      <c r="B9" s="8" t="s">
        <v>246</v>
      </c>
      <c r="C9" s="8">
        <f>SUBTOTAL(109,Criteria_Summary13.3.16[Elementos])</f>
        <v>15</v>
      </c>
      <c r="D9" s="8" t="s">
        <v>246</v>
      </c>
      <c r="E9" s="8">
        <f>SUBTOTAL(109,Criteria_Summary13.3.16[Total])</f>
        <v>15</v>
      </c>
    </row>
    <row r="10" spans="1:9">
      <c r="A10" s="9" t="s">
        <v>247</v>
      </c>
      <c r="B10" s="9">
        <v>0</v>
      </c>
      <c r="C10" s="10"/>
      <c r="D10" s="10"/>
      <c r="E10" s="9">
        <v>15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15</v>
      </c>
      <c r="C16" s="18" t="s">
        <v>249</v>
      </c>
      <c r="D16" s="18" t="s">
        <v>249</v>
      </c>
      <c r="E16" s="8">
        <v>15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321</v>
      </c>
      <c r="B20" s="18" t="s">
        <v>321</v>
      </c>
      <c r="C20" s="18" t="s">
        <v>321</v>
      </c>
      <c r="D20" s="8" t="s">
        <v>322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36.75">
      <c r="A24" s="8" t="s">
        <v>241</v>
      </c>
      <c r="B24" s="8" t="s">
        <v>271</v>
      </c>
      <c r="C24" s="8" t="s">
        <v>323</v>
      </c>
      <c r="D24" s="8" t="s">
        <v>4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6" xr:uid="{00000000-0004-0000-1100-000000000000}"/>
    <hyperlink ref="F2" location="'13.3.16E'!A1" display="15" xr:uid="{00000000-0004-0000-1100-000001000000}"/>
    <hyperlink ref="E10" location="'13.3.16E'!A1" display="'13.3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80</v>
      </c>
      <c r="B2" s="5" t="s">
        <v>81</v>
      </c>
      <c r="C2" s="5" t="s">
        <v>30</v>
      </c>
      <c r="D2" s="5" t="s">
        <v>82</v>
      </c>
      <c r="E2" s="5" t="s">
        <v>16</v>
      </c>
      <c r="F2" s="5" t="s">
        <v>324</v>
      </c>
      <c r="G2" s="5">
        <v>20.72808298264</v>
      </c>
      <c r="H2" s="5">
        <v>24.842607454694043</v>
      </c>
      <c r="I2" s="5">
        <v>1813.5103441926651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73</v>
      </c>
      <c r="D8" s="8" t="s">
        <v>274</v>
      </c>
      <c r="E8" s="8">
        <v>73</v>
      </c>
    </row>
    <row r="9" spans="1:9">
      <c r="A9" s="8" t="s">
        <v>246</v>
      </c>
      <c r="B9" s="8" t="s">
        <v>246</v>
      </c>
      <c r="C9" s="8">
        <f>SUBTOTAL(109,Criteria_Summary13.3.17[Elementos])</f>
        <v>73</v>
      </c>
      <c r="D9" s="8" t="s">
        <v>246</v>
      </c>
      <c r="E9" s="8">
        <f>SUBTOTAL(109,Criteria_Summary13.3.17[Total])</f>
        <v>73</v>
      </c>
    </row>
    <row r="10" spans="1:9">
      <c r="A10" s="9" t="s">
        <v>247</v>
      </c>
      <c r="B10" s="9">
        <v>0</v>
      </c>
      <c r="C10" s="10"/>
      <c r="D10" s="10"/>
      <c r="E10" s="9">
        <v>73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73</v>
      </c>
      <c r="C16" s="18" t="s">
        <v>275</v>
      </c>
      <c r="D16" s="18" t="s">
        <v>275</v>
      </c>
      <c r="E16" s="8">
        <v>73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325</v>
      </c>
      <c r="B20" s="18" t="s">
        <v>325</v>
      </c>
      <c r="C20" s="18" t="s">
        <v>325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263</v>
      </c>
      <c r="B24" s="8" t="s">
        <v>271</v>
      </c>
      <c r="C24" s="8" t="s">
        <v>326</v>
      </c>
      <c r="D24" s="8" t="s">
        <v>297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7" xr:uid="{00000000-0004-0000-1200-000000000000}"/>
    <hyperlink ref="F2" location="'13.3.17E'!A1" display="73" xr:uid="{00000000-0004-0000-1200-000001000000}"/>
    <hyperlink ref="E10" location="'13.3.17E'!A1" display="'13.3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K5" sqref="K5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2">
        <v>228408.2</v>
      </c>
    </row>
  </sheetData>
  <hyperlinks>
    <hyperlink ref="A2" location="'Orçamento'!A1" display="13.3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84</v>
      </c>
      <c r="B2" s="5" t="s">
        <v>85</v>
      </c>
      <c r="C2" s="5" t="s">
        <v>25</v>
      </c>
      <c r="D2" s="5" t="s">
        <v>86</v>
      </c>
      <c r="E2" s="5" t="s">
        <v>16</v>
      </c>
      <c r="F2" s="5" t="s">
        <v>327</v>
      </c>
      <c r="G2" s="5">
        <v>94.44</v>
      </c>
      <c r="H2" s="5">
        <v>113.18634000000002</v>
      </c>
      <c r="I2" s="5">
        <v>226.37268000000003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307</v>
      </c>
      <c r="E8" s="8">
        <v>2</v>
      </c>
    </row>
    <row r="9" spans="1:9">
      <c r="A9" s="8" t="s">
        <v>246</v>
      </c>
      <c r="B9" s="8" t="s">
        <v>246</v>
      </c>
      <c r="C9" s="8">
        <f>SUBTOTAL(109,Criteria_Summary13.3.18[Elementos])</f>
        <v>2</v>
      </c>
      <c r="D9" s="8" t="s">
        <v>246</v>
      </c>
      <c r="E9" s="8">
        <f>SUBTOTAL(109,Criteria_Summary13.3.18[Total])</f>
        <v>2</v>
      </c>
    </row>
    <row r="10" spans="1:9">
      <c r="A10" s="9" t="s">
        <v>247</v>
      </c>
      <c r="B10" s="9">
        <v>0</v>
      </c>
      <c r="C10" s="10"/>
      <c r="D10" s="10"/>
      <c r="E10" s="9">
        <v>2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275</v>
      </c>
      <c r="D16" s="18" t="s">
        <v>275</v>
      </c>
      <c r="E16" s="8">
        <v>2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328</v>
      </c>
      <c r="B20" s="18" t="s">
        <v>328</v>
      </c>
      <c r="C20" s="18" t="s">
        <v>328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329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8" xr:uid="{00000000-0004-0000-1300-000000000000}"/>
    <hyperlink ref="F2" location="'13.3.18E'!A1" display="2" xr:uid="{00000000-0004-0000-1300-000001000000}"/>
    <hyperlink ref="E10" location="'13.3.18E'!A1" display="'13.3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88</v>
      </c>
      <c r="B2" s="5" t="s">
        <v>89</v>
      </c>
      <c r="C2" s="5" t="s">
        <v>25</v>
      </c>
      <c r="D2" s="5" t="s">
        <v>90</v>
      </c>
      <c r="E2" s="5" t="s">
        <v>16</v>
      </c>
      <c r="F2" s="5" t="s">
        <v>280</v>
      </c>
      <c r="G2" s="5">
        <v>3.31</v>
      </c>
      <c r="H2" s="5">
        <v>3.9670350000000005</v>
      </c>
      <c r="I2" s="5">
        <v>3.9670350000000005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274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SUBTOTAL(109,Criteria_Summary13.3.19[Elementos])</f>
        <v>1</v>
      </c>
      <c r="D9" s="8" t="s">
        <v>246</v>
      </c>
      <c r="E9" s="8">
        <f>SUBTOTAL(109,Criteria_Summary13.3.19[Total])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330</v>
      </c>
      <c r="B20" s="18" t="s">
        <v>330</v>
      </c>
      <c r="C20" s="18" t="s">
        <v>330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331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19" xr:uid="{00000000-0004-0000-1400-000000000000}"/>
    <hyperlink ref="F2" location="'13.3.19E'!A1" display="1" xr:uid="{00000000-0004-0000-1400-000001000000}"/>
    <hyperlink ref="E10" location="'13.3.19E'!A1" display="'13.3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91</v>
      </c>
      <c r="B2" s="5" t="s">
        <v>92</v>
      </c>
      <c r="C2" s="5" t="s">
        <v>14</v>
      </c>
      <c r="D2" s="5" t="s">
        <v>93</v>
      </c>
      <c r="E2" s="5" t="s">
        <v>16</v>
      </c>
      <c r="F2" s="5" t="s">
        <v>332</v>
      </c>
      <c r="G2" s="5">
        <v>77.925965779999999</v>
      </c>
      <c r="H2" s="5">
        <v>93.394269987330006</v>
      </c>
      <c r="I2" s="5">
        <v>4015.9536094551904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43</v>
      </c>
      <c r="D8" s="8" t="s">
        <v>245</v>
      </c>
      <c r="E8" s="8">
        <v>43</v>
      </c>
    </row>
    <row r="9" spans="1:9">
      <c r="A9" s="8" t="s">
        <v>246</v>
      </c>
      <c r="B9" s="8" t="s">
        <v>246</v>
      </c>
      <c r="C9" s="8">
        <f>SUBTOTAL(109,Criteria_Summary13.3.20[Elementos])</f>
        <v>43</v>
      </c>
      <c r="D9" s="8" t="s">
        <v>246</v>
      </c>
      <c r="E9" s="8">
        <f>SUBTOTAL(109,Criteria_Summary13.3.20[Total])</f>
        <v>43</v>
      </c>
    </row>
    <row r="10" spans="1:9">
      <c r="A10" s="9" t="s">
        <v>247</v>
      </c>
      <c r="B10" s="9">
        <v>0</v>
      </c>
      <c r="C10" s="10"/>
      <c r="D10" s="10"/>
      <c r="E10" s="9">
        <v>43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43</v>
      </c>
      <c r="C16" s="18" t="s">
        <v>249</v>
      </c>
      <c r="D16" s="18" t="s">
        <v>249</v>
      </c>
      <c r="E16" s="8">
        <v>43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333</v>
      </c>
      <c r="B24" s="18" t="s">
        <v>333</v>
      </c>
      <c r="C24" s="18" t="s">
        <v>333</v>
      </c>
      <c r="D24" s="8" t="s">
        <v>334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241</v>
      </c>
      <c r="B28" s="8" t="s">
        <v>271</v>
      </c>
      <c r="C28" s="8" t="s">
        <v>335</v>
      </c>
      <c r="D28" s="8" t="s">
        <v>4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0" xr:uid="{00000000-0004-0000-1500-000000000000}"/>
    <hyperlink ref="F2" location="'13.3.20E'!A1" display="43" xr:uid="{00000000-0004-0000-1500-000001000000}"/>
    <hyperlink ref="E10" location="'13.3.20E'!A1" display="'13.3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95</v>
      </c>
      <c r="B2" s="5" t="s">
        <v>96</v>
      </c>
      <c r="C2" s="5" t="s">
        <v>14</v>
      </c>
      <c r="D2" s="5" t="s">
        <v>97</v>
      </c>
      <c r="E2" s="5" t="s">
        <v>16</v>
      </c>
      <c r="F2" s="5" t="s">
        <v>327</v>
      </c>
      <c r="G2" s="5">
        <v>205.27882022399999</v>
      </c>
      <c r="H2" s="5">
        <v>246.02666603846401</v>
      </c>
      <c r="I2" s="5">
        <v>492.05333207692803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274</v>
      </c>
      <c r="E8" s="8">
        <v>2</v>
      </c>
    </row>
    <row r="9" spans="1:9">
      <c r="A9" s="8" t="s">
        <v>246</v>
      </c>
      <c r="B9" s="8" t="s">
        <v>246</v>
      </c>
      <c r="C9" s="8">
        <f>SUBTOTAL(109,Criteria_Summary13.3.21[Elementos])</f>
        <v>2</v>
      </c>
      <c r="D9" s="8" t="s">
        <v>246</v>
      </c>
      <c r="E9" s="8">
        <f>SUBTOTAL(109,Criteria_Summary13.3.21[Total])</f>
        <v>2</v>
      </c>
    </row>
    <row r="10" spans="1:9">
      <c r="A10" s="9" t="s">
        <v>247</v>
      </c>
      <c r="B10" s="9">
        <v>0</v>
      </c>
      <c r="C10" s="10"/>
      <c r="D10" s="10"/>
      <c r="E10" s="9">
        <v>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275</v>
      </c>
      <c r="D16" s="18" t="s">
        <v>275</v>
      </c>
      <c r="E16" s="8">
        <v>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336</v>
      </c>
      <c r="B24" s="18" t="s">
        <v>336</v>
      </c>
      <c r="C24" s="18" t="s">
        <v>336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337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1" xr:uid="{00000000-0004-0000-1600-000000000000}"/>
    <hyperlink ref="F2" location="'13.3.21E'!A1" display="2" xr:uid="{00000000-0004-0000-1600-000001000000}"/>
    <hyperlink ref="E10" location="'13.3.21E'!A1" display="'13.3.21E'!A1" xr:uid="{00000000-0004-0000-1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98</v>
      </c>
      <c r="B2" s="5" t="s">
        <v>99</v>
      </c>
      <c r="C2" s="5" t="s">
        <v>14</v>
      </c>
      <c r="D2" s="5" t="s">
        <v>100</v>
      </c>
      <c r="E2" s="5" t="s">
        <v>16</v>
      </c>
      <c r="F2" s="5" t="s">
        <v>327</v>
      </c>
      <c r="G2" s="5">
        <v>92.772313776000004</v>
      </c>
      <c r="H2" s="5">
        <v>111.18761806053601</v>
      </c>
      <c r="I2" s="5">
        <v>222.37523612107202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274</v>
      </c>
      <c r="E8" s="8">
        <v>2</v>
      </c>
    </row>
    <row r="9" spans="1:9">
      <c r="A9" s="8" t="s">
        <v>246</v>
      </c>
      <c r="B9" s="8" t="s">
        <v>246</v>
      </c>
      <c r="C9" s="8">
        <f>SUBTOTAL(109,Criteria_Summary13.3.22[Elementos])</f>
        <v>2</v>
      </c>
      <c r="D9" s="8" t="s">
        <v>246</v>
      </c>
      <c r="E9" s="8">
        <f>SUBTOTAL(109,Criteria_Summary13.3.22[Total])</f>
        <v>2</v>
      </c>
    </row>
    <row r="10" spans="1:9">
      <c r="A10" s="9" t="s">
        <v>247</v>
      </c>
      <c r="B10" s="9">
        <v>0</v>
      </c>
      <c r="C10" s="10"/>
      <c r="D10" s="10"/>
      <c r="E10" s="9">
        <v>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275</v>
      </c>
      <c r="D16" s="18" t="s">
        <v>275</v>
      </c>
      <c r="E16" s="8">
        <v>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338</v>
      </c>
      <c r="B24" s="18" t="s">
        <v>338</v>
      </c>
      <c r="C24" s="18" t="s">
        <v>338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339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2" xr:uid="{00000000-0004-0000-1700-000000000000}"/>
    <hyperlink ref="F2" location="'13.3.22E'!A1" display="2" xr:uid="{00000000-0004-0000-1700-000001000000}"/>
    <hyperlink ref="E10" location="'13.3.22E'!A1" display="'13.3.22E'!A1" xr:uid="{00000000-0004-0000-1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101</v>
      </c>
      <c r="B2" s="5" t="s">
        <v>102</v>
      </c>
      <c r="C2" s="5" t="s">
        <v>14</v>
      </c>
      <c r="D2" s="5" t="s">
        <v>103</v>
      </c>
      <c r="E2" s="5" t="s">
        <v>16</v>
      </c>
      <c r="F2" s="5" t="s">
        <v>310</v>
      </c>
      <c r="G2" s="5">
        <v>33.514930067999998</v>
      </c>
      <c r="H2" s="5">
        <v>40.167643686498003</v>
      </c>
      <c r="I2" s="5">
        <v>160.67057474599201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</v>
      </c>
      <c r="D8" s="8" t="s">
        <v>274</v>
      </c>
      <c r="E8" s="8">
        <v>4</v>
      </c>
    </row>
    <row r="9" spans="1:9">
      <c r="A9" s="8" t="s">
        <v>246</v>
      </c>
      <c r="B9" s="8" t="s">
        <v>246</v>
      </c>
      <c r="C9" s="8">
        <f>SUBTOTAL(109,Criteria_Summary13.3.23[Elementos])</f>
        <v>4</v>
      </c>
      <c r="D9" s="8" t="s">
        <v>246</v>
      </c>
      <c r="E9" s="8">
        <f>SUBTOTAL(109,Criteria_Summary13.3.23[Total])</f>
        <v>4</v>
      </c>
    </row>
    <row r="10" spans="1:9">
      <c r="A10" s="9" t="s">
        <v>247</v>
      </c>
      <c r="B10" s="9">
        <v>0</v>
      </c>
      <c r="C10" s="10"/>
      <c r="D10" s="10"/>
      <c r="E10" s="9">
        <v>4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</v>
      </c>
      <c r="C16" s="18" t="s">
        <v>275</v>
      </c>
      <c r="D16" s="18" t="s">
        <v>275</v>
      </c>
      <c r="E16" s="8">
        <v>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338</v>
      </c>
      <c r="B24" s="18" t="s">
        <v>338</v>
      </c>
      <c r="C24" s="18" t="s">
        <v>338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340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3" xr:uid="{00000000-0004-0000-1800-000000000000}"/>
    <hyperlink ref="F2" location="'13.3.23E'!A1" display="4" xr:uid="{00000000-0004-0000-1800-000001000000}"/>
    <hyperlink ref="E10" location="'13.3.23E'!A1" display="'13.3.23E'!A1" xr:uid="{00000000-0004-0000-1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104</v>
      </c>
      <c r="B2" s="5" t="s">
        <v>105</v>
      </c>
      <c r="C2" s="5" t="s">
        <v>30</v>
      </c>
      <c r="D2" s="5" t="s">
        <v>106</v>
      </c>
      <c r="E2" s="5" t="s">
        <v>16</v>
      </c>
      <c r="F2" s="5" t="s">
        <v>341</v>
      </c>
      <c r="G2" s="5">
        <v>12.237350879059999</v>
      </c>
      <c r="H2" s="5">
        <v>14.666465028553411</v>
      </c>
      <c r="I2" s="5">
        <v>425.32748582804891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29</v>
      </c>
      <c r="D8" s="8" t="s">
        <v>274</v>
      </c>
      <c r="E8" s="8">
        <v>29</v>
      </c>
    </row>
    <row r="9" spans="1:9">
      <c r="A9" s="8" t="s">
        <v>246</v>
      </c>
      <c r="B9" s="8" t="s">
        <v>246</v>
      </c>
      <c r="C9" s="8">
        <f>SUBTOTAL(109,Criteria_Summary13.3.24[Elementos])</f>
        <v>29</v>
      </c>
      <c r="D9" s="8" t="s">
        <v>246</v>
      </c>
      <c r="E9" s="8">
        <f>SUBTOTAL(109,Criteria_Summary13.3.24[Total])</f>
        <v>29</v>
      </c>
    </row>
    <row r="10" spans="1:9">
      <c r="A10" s="9" t="s">
        <v>247</v>
      </c>
      <c r="B10" s="9">
        <v>0</v>
      </c>
      <c r="C10" s="10"/>
      <c r="D10" s="10"/>
      <c r="E10" s="9">
        <v>29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29</v>
      </c>
      <c r="C16" s="18" t="s">
        <v>275</v>
      </c>
      <c r="D16" s="18" t="s">
        <v>275</v>
      </c>
      <c r="E16" s="8">
        <v>29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342</v>
      </c>
      <c r="B24" s="18" t="s">
        <v>342</v>
      </c>
      <c r="C24" s="18" t="s">
        <v>342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72.75">
      <c r="A28" s="8" t="s">
        <v>241</v>
      </c>
      <c r="B28" s="8" t="s">
        <v>271</v>
      </c>
      <c r="C28" s="8" t="s">
        <v>343</v>
      </c>
      <c r="D28" s="8" t="s">
        <v>4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4" xr:uid="{00000000-0004-0000-1900-000000000000}"/>
    <hyperlink ref="F2" location="'13.3.24E'!A1" display="29" xr:uid="{00000000-0004-0000-1900-000001000000}"/>
    <hyperlink ref="E10" location="'13.3.24E'!A1" display="'13.3.24E'!A1" xr:uid="{00000000-0004-0000-1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108</v>
      </c>
      <c r="B2" s="5" t="s">
        <v>109</v>
      </c>
      <c r="C2" s="5" t="s">
        <v>14</v>
      </c>
      <c r="D2" s="5" t="s">
        <v>110</v>
      </c>
      <c r="E2" s="5" t="s">
        <v>16</v>
      </c>
      <c r="F2" s="5" t="s">
        <v>288</v>
      </c>
      <c r="G2" s="5">
        <v>16.047161224</v>
      </c>
      <c r="H2" s="5">
        <v>19.232522726964003</v>
      </c>
      <c r="I2" s="5">
        <v>423.11549999320806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22</v>
      </c>
      <c r="D8" s="8" t="s">
        <v>274</v>
      </c>
      <c r="E8" s="8">
        <v>22</v>
      </c>
    </row>
    <row r="9" spans="1:9">
      <c r="A9" s="8" t="s">
        <v>246</v>
      </c>
      <c r="B9" s="8" t="s">
        <v>246</v>
      </c>
      <c r="C9" s="8">
        <f>SUBTOTAL(109,Criteria_Summary13.3.25[Elementos])</f>
        <v>22</v>
      </c>
      <c r="D9" s="8" t="s">
        <v>246</v>
      </c>
      <c r="E9" s="8">
        <f>SUBTOTAL(109,Criteria_Summary13.3.25[Total])</f>
        <v>22</v>
      </c>
    </row>
    <row r="10" spans="1:9">
      <c r="A10" s="9" t="s">
        <v>247</v>
      </c>
      <c r="B10" s="9">
        <v>0</v>
      </c>
      <c r="C10" s="10"/>
      <c r="D10" s="10"/>
      <c r="E10" s="9">
        <v>22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22</v>
      </c>
      <c r="C16" s="18" t="s">
        <v>275</v>
      </c>
      <c r="D16" s="18" t="s">
        <v>275</v>
      </c>
      <c r="E16" s="8">
        <v>22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344</v>
      </c>
      <c r="B24" s="18" t="s">
        <v>344</v>
      </c>
      <c r="C24" s="18" t="s">
        <v>344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345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5" xr:uid="{00000000-0004-0000-1A00-000000000000}"/>
    <hyperlink ref="F2" location="'13.3.25E'!A1" display="22" xr:uid="{00000000-0004-0000-1A00-000001000000}"/>
    <hyperlink ref="E10" location="'13.3.25E'!A1" display="'13.3.25E'!A1" xr:uid="{00000000-0004-0000-1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111</v>
      </c>
      <c r="B2" s="5" t="s">
        <v>112</v>
      </c>
      <c r="C2" s="5" t="s">
        <v>30</v>
      </c>
      <c r="D2" s="5" t="s">
        <v>113</v>
      </c>
      <c r="E2" s="5" t="s">
        <v>16</v>
      </c>
      <c r="F2" s="5" t="s">
        <v>280</v>
      </c>
      <c r="G2" s="5">
        <v>58.038218369379997</v>
      </c>
      <c r="H2" s="5">
        <v>69.558804715701939</v>
      </c>
      <c r="I2" s="5">
        <v>69.558804715701939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274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SUBTOTAL(109,Criteria_Summary13.3.26[Elementos])</f>
        <v>1</v>
      </c>
      <c r="D9" s="8" t="s">
        <v>246</v>
      </c>
      <c r="E9" s="8">
        <f>SUBTOTAL(109,Criteria_Summary13.3.26[Total])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325</v>
      </c>
      <c r="B24" s="18" t="s">
        <v>325</v>
      </c>
      <c r="C24" s="18" t="s">
        <v>325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346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6" xr:uid="{00000000-0004-0000-1B00-000000000000}"/>
    <hyperlink ref="F2" location="'13.3.26E'!A1" display="1" xr:uid="{00000000-0004-0000-1B00-000001000000}"/>
    <hyperlink ref="E10" location="'13.3.26E'!A1" display="'13.3.26E'!A1" xr:uid="{00000000-0004-0000-1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114</v>
      </c>
      <c r="B2" s="5" t="s">
        <v>115</v>
      </c>
      <c r="C2" s="5" t="s">
        <v>30</v>
      </c>
      <c r="D2" s="5" t="s">
        <v>116</v>
      </c>
      <c r="E2" s="5" t="s">
        <v>16</v>
      </c>
      <c r="F2" s="5" t="s">
        <v>280</v>
      </c>
      <c r="G2" s="5">
        <v>84.774499141320007</v>
      </c>
      <c r="H2" s="5">
        <v>101.60223722087204</v>
      </c>
      <c r="I2" s="5">
        <v>101.60223722087204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274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SUBTOTAL(109,Criteria_Summary13.3.27[Elementos])</f>
        <v>1</v>
      </c>
      <c r="D9" s="8" t="s">
        <v>246</v>
      </c>
      <c r="E9" s="8">
        <f>SUBTOTAL(109,Criteria_Summary13.3.27[Total])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325</v>
      </c>
      <c r="B24" s="18" t="s">
        <v>325</v>
      </c>
      <c r="C24" s="18" t="s">
        <v>325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346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7" xr:uid="{00000000-0004-0000-1C00-000000000000}"/>
    <hyperlink ref="F2" location="'13.3.27E'!A1" display="1" xr:uid="{00000000-0004-0000-1C00-000001000000}"/>
    <hyperlink ref="E10" location="'13.3.27E'!A1" display="'13.3.27E'!A1" xr:uid="{00000000-0004-0000-1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239</v>
      </c>
      <c r="G2" s="5">
        <v>107.74979383599999</v>
      </c>
      <c r="H2" s="5">
        <v>129.13812791244601</v>
      </c>
      <c r="I2" s="5">
        <v>2324.4863024240281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245</v>
      </c>
      <c r="E8" s="8">
        <v>18</v>
      </c>
    </row>
    <row r="9" spans="1:9">
      <c r="A9" s="8" t="s">
        <v>246</v>
      </c>
      <c r="B9" s="8" t="s">
        <v>246</v>
      </c>
      <c r="C9" s="8">
        <f>SUBTOTAL(109,Criteria_Summary13.3.1[Elementos])</f>
        <v>18</v>
      </c>
      <c r="D9" s="8" t="s">
        <v>246</v>
      </c>
      <c r="E9" s="8">
        <f>SUBTOTAL(109,Criteria_Summary13.3.1[Total])</f>
        <v>18</v>
      </c>
    </row>
    <row r="10" spans="1:9">
      <c r="A10" s="9" t="s">
        <v>247</v>
      </c>
      <c r="B10" s="9">
        <v>0</v>
      </c>
      <c r="C10" s="10"/>
      <c r="D10" s="10"/>
      <c r="E10" s="9">
        <v>18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249</v>
      </c>
      <c r="D16" s="18" t="s">
        <v>249</v>
      </c>
      <c r="E16" s="8">
        <v>18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257</v>
      </c>
      <c r="B24" s="18" t="s">
        <v>257</v>
      </c>
      <c r="C24" s="18" t="s">
        <v>257</v>
      </c>
      <c r="D24" s="8" t="s">
        <v>258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24.75">
      <c r="A28" s="8" t="s">
        <v>263</v>
      </c>
      <c r="B28" s="8" t="s">
        <v>264</v>
      </c>
      <c r="C28" s="8" t="s">
        <v>265</v>
      </c>
      <c r="D28" s="8" t="s">
        <v>266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1" xr:uid="{00000000-0004-0000-0200-000000000000}"/>
    <hyperlink ref="F2" location="'13.3.1E'!A1" display="18" xr:uid="{00000000-0004-0000-0200-000001000000}"/>
    <hyperlink ref="E10" location="'13.3.1E'!A1" display="'13.3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117</v>
      </c>
      <c r="B2" s="5" t="s">
        <v>118</v>
      </c>
      <c r="C2" s="5" t="s">
        <v>30</v>
      </c>
      <c r="D2" s="5" t="s">
        <v>119</v>
      </c>
      <c r="E2" s="5" t="s">
        <v>16</v>
      </c>
      <c r="F2" s="5" t="s">
        <v>347</v>
      </c>
      <c r="G2" s="5">
        <v>11.324099694739999</v>
      </c>
      <c r="H2" s="5">
        <v>13.571933484145891</v>
      </c>
      <c r="I2" s="5">
        <v>637.88087375485691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47</v>
      </c>
      <c r="D8" s="8" t="s">
        <v>274</v>
      </c>
      <c r="E8" s="8">
        <v>47</v>
      </c>
    </row>
    <row r="9" spans="1:9">
      <c r="A9" s="8" t="s">
        <v>246</v>
      </c>
      <c r="B9" s="8" t="s">
        <v>246</v>
      </c>
      <c r="C9" s="8">
        <f>SUBTOTAL(109,Criteria_Summary13.3.28[Elementos])</f>
        <v>47</v>
      </c>
      <c r="D9" s="8" t="s">
        <v>246</v>
      </c>
      <c r="E9" s="8">
        <f>SUBTOTAL(109,Criteria_Summary13.3.28[Total])</f>
        <v>47</v>
      </c>
    </row>
    <row r="10" spans="1:9">
      <c r="A10" s="9" t="s">
        <v>247</v>
      </c>
      <c r="B10" s="9">
        <v>0</v>
      </c>
      <c r="C10" s="10"/>
      <c r="D10" s="10"/>
      <c r="E10" s="9">
        <v>47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47</v>
      </c>
      <c r="C16" s="18" t="s">
        <v>275</v>
      </c>
      <c r="D16" s="18" t="s">
        <v>275</v>
      </c>
      <c r="E16" s="8">
        <v>47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325</v>
      </c>
      <c r="B24" s="18" t="s">
        <v>325</v>
      </c>
      <c r="C24" s="18" t="s">
        <v>325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348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8" xr:uid="{00000000-0004-0000-1D00-000000000000}"/>
    <hyperlink ref="F2" location="'13.3.28E'!A1" display="47" xr:uid="{00000000-0004-0000-1D00-000001000000}"/>
    <hyperlink ref="E10" location="'13.3.28E'!A1" display="'13.3.28E'!A1" xr:uid="{00000000-0004-0000-1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121</v>
      </c>
      <c r="B2" s="5" t="s">
        <v>122</v>
      </c>
      <c r="C2" s="5" t="s">
        <v>30</v>
      </c>
      <c r="D2" s="5" t="s">
        <v>123</v>
      </c>
      <c r="E2" s="5" t="s">
        <v>16</v>
      </c>
      <c r="F2" s="5" t="s">
        <v>349</v>
      </c>
      <c r="G2" s="5">
        <v>16.269225929480001</v>
      </c>
      <c r="H2" s="5">
        <v>19.498667276481783</v>
      </c>
      <c r="I2" s="5">
        <v>116.9920036588907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6</v>
      </c>
      <c r="D8" s="8" t="s">
        <v>274</v>
      </c>
      <c r="E8" s="8">
        <v>6</v>
      </c>
    </row>
    <row r="9" spans="1:9">
      <c r="A9" s="8" t="s">
        <v>246</v>
      </c>
      <c r="B9" s="8" t="s">
        <v>246</v>
      </c>
      <c r="C9" s="8">
        <f>SUBTOTAL(109,Criteria_Summary13.3.29[Elementos])</f>
        <v>6</v>
      </c>
      <c r="D9" s="8" t="s">
        <v>246</v>
      </c>
      <c r="E9" s="8">
        <f>SUBTOTAL(109,Criteria_Summary13.3.29[Total])</f>
        <v>6</v>
      </c>
    </row>
    <row r="10" spans="1:9">
      <c r="A10" s="9" t="s">
        <v>247</v>
      </c>
      <c r="B10" s="9">
        <v>0</v>
      </c>
      <c r="C10" s="10"/>
      <c r="D10" s="10"/>
      <c r="E10" s="9">
        <v>6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6</v>
      </c>
      <c r="C16" s="18" t="s">
        <v>275</v>
      </c>
      <c r="D16" s="18" t="s">
        <v>275</v>
      </c>
      <c r="E16" s="8">
        <v>6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325</v>
      </c>
      <c r="B24" s="18" t="s">
        <v>325</v>
      </c>
      <c r="C24" s="18" t="s">
        <v>325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350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9" xr:uid="{00000000-0004-0000-1E00-000000000000}"/>
    <hyperlink ref="F2" location="'13.3.29E'!A1" display="6" xr:uid="{00000000-0004-0000-1E00-000001000000}"/>
    <hyperlink ref="E10" location="'13.3.29E'!A1" display="'13.3.29E'!A1" xr:uid="{00000000-0004-0000-1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125</v>
      </c>
      <c r="B2" s="5" t="s">
        <v>126</v>
      </c>
      <c r="C2" s="5" t="s">
        <v>30</v>
      </c>
      <c r="D2" s="5" t="s">
        <v>127</v>
      </c>
      <c r="E2" s="5" t="s">
        <v>44</v>
      </c>
      <c r="F2" s="5" t="s">
        <v>128</v>
      </c>
      <c r="G2" s="5">
        <v>27.512381187799999</v>
      </c>
      <c r="H2" s="5">
        <v>32.973588853578299</v>
      </c>
      <c r="I2" s="5">
        <v>1445.5621353408728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112</v>
      </c>
      <c r="D8" s="8" t="s">
        <v>292</v>
      </c>
      <c r="E8" s="8">
        <v>43.841066552226422</v>
      </c>
    </row>
    <row r="9" spans="1:9">
      <c r="A9" s="8" t="s">
        <v>246</v>
      </c>
      <c r="B9" s="8" t="s">
        <v>246</v>
      </c>
      <c r="C9" s="8">
        <f>SUBTOTAL(109,Criteria_Summary13.3.30[Elementos])</f>
        <v>112</v>
      </c>
      <c r="D9" s="8" t="s">
        <v>246</v>
      </c>
      <c r="E9" s="8">
        <f>SUBTOTAL(109,Criteria_Summary13.3.30[Total])</f>
        <v>43.841066552226422</v>
      </c>
    </row>
    <row r="10" spans="1:9">
      <c r="A10" s="9" t="s">
        <v>247</v>
      </c>
      <c r="B10" s="9">
        <v>0</v>
      </c>
      <c r="C10" s="10"/>
      <c r="D10" s="10"/>
      <c r="E10" s="9">
        <v>43.84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112</v>
      </c>
      <c r="C16" s="18" t="s">
        <v>293</v>
      </c>
      <c r="D16" s="18" t="s">
        <v>293</v>
      </c>
      <c r="E16" s="8">
        <v>43.841066552226422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351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352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353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0" xr:uid="{00000000-0004-0000-1F00-000000000000}"/>
    <hyperlink ref="F2" location="'13.3.30E'!A1" display="43,84" xr:uid="{00000000-0004-0000-1F00-000001000000}"/>
    <hyperlink ref="E10" location="'13.3.30E'!A1" display="'13.3.30E'!A1" xr:uid="{00000000-0004-0000-1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129</v>
      </c>
      <c r="B2" s="5" t="s">
        <v>130</v>
      </c>
      <c r="C2" s="5" t="s">
        <v>30</v>
      </c>
      <c r="D2" s="5" t="s">
        <v>131</v>
      </c>
      <c r="E2" s="5" t="s">
        <v>44</v>
      </c>
      <c r="F2" s="5" t="s">
        <v>132</v>
      </c>
      <c r="G2" s="5">
        <v>15.1812307109</v>
      </c>
      <c r="H2" s="5">
        <v>18.194705007013653</v>
      </c>
      <c r="I2" s="5">
        <v>2704.097058142369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134</v>
      </c>
      <c r="D8" s="8" t="s">
        <v>292</v>
      </c>
      <c r="E8" s="8">
        <v>148.61787436351815</v>
      </c>
    </row>
    <row r="9" spans="1:9">
      <c r="A9" s="8" t="s">
        <v>246</v>
      </c>
      <c r="B9" s="8" t="s">
        <v>246</v>
      </c>
      <c r="C9" s="8">
        <f>SUBTOTAL(109,Criteria_Summary13.3.31[Elementos])</f>
        <v>134</v>
      </c>
      <c r="D9" s="8" t="s">
        <v>246</v>
      </c>
      <c r="E9" s="8">
        <f>SUBTOTAL(109,Criteria_Summary13.3.31[Total])</f>
        <v>148.61787436351815</v>
      </c>
    </row>
    <row r="10" spans="1:9">
      <c r="A10" s="9" t="s">
        <v>247</v>
      </c>
      <c r="B10" s="9">
        <v>0</v>
      </c>
      <c r="C10" s="10"/>
      <c r="D10" s="10"/>
      <c r="E10" s="9">
        <v>148.62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134</v>
      </c>
      <c r="C16" s="18" t="s">
        <v>293</v>
      </c>
      <c r="D16" s="18" t="s">
        <v>293</v>
      </c>
      <c r="E16" s="8">
        <v>148.61787436351815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351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352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300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1" xr:uid="{00000000-0004-0000-2000-000000000000}"/>
    <hyperlink ref="F2" location="'13.3.31E'!A1" display="148,62" xr:uid="{00000000-0004-0000-2000-000001000000}"/>
    <hyperlink ref="E10" location="'13.3.31E'!A1" display="'13.3.31E'!A1" xr:uid="{00000000-0004-0000-2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133</v>
      </c>
      <c r="B2" s="5" t="s">
        <v>134</v>
      </c>
      <c r="C2" s="5" t="s">
        <v>30</v>
      </c>
      <c r="D2" s="5" t="s">
        <v>135</v>
      </c>
      <c r="E2" s="5" t="s">
        <v>16</v>
      </c>
      <c r="F2" s="5" t="s">
        <v>354</v>
      </c>
      <c r="G2" s="5">
        <v>12.8540023442</v>
      </c>
      <c r="H2" s="5">
        <v>15.405521809523702</v>
      </c>
      <c r="I2" s="5">
        <v>1109.1975702857064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72</v>
      </c>
      <c r="D8" s="8" t="s">
        <v>274</v>
      </c>
      <c r="E8" s="8">
        <v>72</v>
      </c>
    </row>
    <row r="9" spans="1:9">
      <c r="A9" s="8" t="s">
        <v>246</v>
      </c>
      <c r="B9" s="8" t="s">
        <v>246</v>
      </c>
      <c r="C9" s="8">
        <f>SUBTOTAL(109,Criteria_Summary13.3.32[Elementos])</f>
        <v>72</v>
      </c>
      <c r="D9" s="8" t="s">
        <v>246</v>
      </c>
      <c r="E9" s="8">
        <f>SUBTOTAL(109,Criteria_Summary13.3.32[Total])</f>
        <v>72</v>
      </c>
    </row>
    <row r="10" spans="1:9">
      <c r="A10" s="9" t="s">
        <v>247</v>
      </c>
      <c r="B10" s="9">
        <v>0</v>
      </c>
      <c r="C10" s="10"/>
      <c r="D10" s="10"/>
      <c r="E10" s="9">
        <v>72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72</v>
      </c>
      <c r="C16" s="18" t="s">
        <v>275</v>
      </c>
      <c r="D16" s="18" t="s">
        <v>275</v>
      </c>
      <c r="E16" s="8">
        <v>72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276</v>
      </c>
      <c r="B24" s="18" t="s">
        <v>276</v>
      </c>
      <c r="C24" s="18" t="s">
        <v>276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355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32" xr:uid="{00000000-0004-0000-2100-000000000000}"/>
    <hyperlink ref="F2" location="'13.3.32E'!A1" display="72" xr:uid="{00000000-0004-0000-2100-000001000000}"/>
    <hyperlink ref="E10" location="'13.3.32E'!A1" display="'13.3.32E'!A1" xr:uid="{00000000-0004-0000-2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137</v>
      </c>
      <c r="B2" s="5" t="s">
        <v>138</v>
      </c>
      <c r="C2" s="5" t="s">
        <v>30</v>
      </c>
      <c r="D2" s="5" t="s">
        <v>139</v>
      </c>
      <c r="E2" s="5" t="s">
        <v>16</v>
      </c>
      <c r="F2" s="5" t="s">
        <v>356</v>
      </c>
      <c r="G2" s="5">
        <v>17.559551386340001</v>
      </c>
      <c r="H2" s="5">
        <v>21.045122336528493</v>
      </c>
      <c r="I2" s="5">
        <v>631.3536700958548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30</v>
      </c>
      <c r="D8" s="8" t="s">
        <v>274</v>
      </c>
      <c r="E8" s="8">
        <v>30</v>
      </c>
    </row>
    <row r="9" spans="1:9">
      <c r="A9" s="8" t="s">
        <v>246</v>
      </c>
      <c r="B9" s="8" t="s">
        <v>246</v>
      </c>
      <c r="C9" s="8">
        <f>SUBTOTAL(109,Criteria_Summary13.3.33[Elementos])</f>
        <v>30</v>
      </c>
      <c r="D9" s="8" t="s">
        <v>246</v>
      </c>
      <c r="E9" s="8">
        <f>SUBTOTAL(109,Criteria_Summary13.3.33[Total])</f>
        <v>30</v>
      </c>
    </row>
    <row r="10" spans="1:9">
      <c r="A10" s="9" t="s">
        <v>247</v>
      </c>
      <c r="B10" s="9">
        <v>0</v>
      </c>
      <c r="C10" s="10"/>
      <c r="D10" s="10"/>
      <c r="E10" s="9">
        <v>30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30</v>
      </c>
      <c r="C16" s="18" t="s">
        <v>275</v>
      </c>
      <c r="D16" s="18" t="s">
        <v>275</v>
      </c>
      <c r="E16" s="8">
        <v>30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276</v>
      </c>
      <c r="B24" s="18" t="s">
        <v>276</v>
      </c>
      <c r="C24" s="18" t="s">
        <v>276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357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33" xr:uid="{00000000-0004-0000-2200-000000000000}"/>
    <hyperlink ref="F2" location="'13.3.33E'!A1" display="30" xr:uid="{00000000-0004-0000-2200-000001000000}"/>
    <hyperlink ref="E10" location="'13.3.33E'!A1" display="'13.3.33E'!A1" xr:uid="{00000000-0004-0000-2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141</v>
      </c>
      <c r="B2" s="5" t="s">
        <v>142</v>
      </c>
      <c r="C2" s="5" t="s">
        <v>30</v>
      </c>
      <c r="D2" s="5" t="s">
        <v>143</v>
      </c>
      <c r="E2" s="5" t="s">
        <v>16</v>
      </c>
      <c r="F2" s="5" t="s">
        <v>358</v>
      </c>
      <c r="G2" s="5">
        <v>25.941013335920001</v>
      </c>
      <c r="H2" s="5">
        <v>31.090304483100123</v>
      </c>
      <c r="I2" s="5">
        <v>155.45152241550062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5</v>
      </c>
      <c r="D8" s="8" t="s">
        <v>274</v>
      </c>
      <c r="E8" s="8">
        <v>5</v>
      </c>
    </row>
    <row r="9" spans="1:9">
      <c r="A9" s="8" t="s">
        <v>246</v>
      </c>
      <c r="B9" s="8" t="s">
        <v>246</v>
      </c>
      <c r="C9" s="8">
        <f>SUBTOTAL(109,Criteria_Summary13.3.34[Elementos])</f>
        <v>5</v>
      </c>
      <c r="D9" s="8" t="s">
        <v>246</v>
      </c>
      <c r="E9" s="8">
        <f>SUBTOTAL(109,Criteria_Summary13.3.34[Total])</f>
        <v>5</v>
      </c>
    </row>
    <row r="10" spans="1:9">
      <c r="A10" s="9" t="s">
        <v>247</v>
      </c>
      <c r="B10" s="9">
        <v>0</v>
      </c>
      <c r="C10" s="10"/>
      <c r="D10" s="10"/>
      <c r="E10" s="9">
        <v>5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5</v>
      </c>
      <c r="C16" s="18" t="s">
        <v>275</v>
      </c>
      <c r="D16" s="18" t="s">
        <v>275</v>
      </c>
      <c r="E16" s="8">
        <v>5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276</v>
      </c>
      <c r="B24" s="18" t="s">
        <v>276</v>
      </c>
      <c r="C24" s="18" t="s">
        <v>276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359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34" xr:uid="{00000000-0004-0000-2300-000000000000}"/>
    <hyperlink ref="F2" location="'13.3.34E'!A1" display="5" xr:uid="{00000000-0004-0000-2300-000001000000}"/>
    <hyperlink ref="E10" location="'13.3.34E'!A1" display="'13.3.34E'!A1" xr:uid="{00000000-0004-0000-2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145</v>
      </c>
      <c r="B2" s="5" t="s">
        <v>146</v>
      </c>
      <c r="C2" s="5" t="s">
        <v>30</v>
      </c>
      <c r="D2" s="5" t="s">
        <v>147</v>
      </c>
      <c r="E2" s="5" t="s">
        <v>16</v>
      </c>
      <c r="F2" s="5" t="s">
        <v>239</v>
      </c>
      <c r="G2" s="5">
        <v>31.43801397396</v>
      </c>
      <c r="H2" s="5">
        <v>37.678459747791067</v>
      </c>
      <c r="I2" s="5">
        <v>678.2122754602392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274</v>
      </c>
      <c r="E8" s="8">
        <v>18</v>
      </c>
    </row>
    <row r="9" spans="1:9">
      <c r="A9" s="8" t="s">
        <v>246</v>
      </c>
      <c r="B9" s="8" t="s">
        <v>246</v>
      </c>
      <c r="C9" s="8">
        <f>SUBTOTAL(109,Criteria_Summary13.3.35[Elementos])</f>
        <v>18</v>
      </c>
      <c r="D9" s="8" t="s">
        <v>246</v>
      </c>
      <c r="E9" s="8">
        <f>SUBTOTAL(109,Criteria_Summary13.3.35[Total])</f>
        <v>18</v>
      </c>
    </row>
    <row r="10" spans="1:9">
      <c r="A10" s="9" t="s">
        <v>247</v>
      </c>
      <c r="B10" s="9">
        <v>0</v>
      </c>
      <c r="C10" s="10"/>
      <c r="D10" s="10"/>
      <c r="E10" s="9">
        <v>18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275</v>
      </c>
      <c r="D16" s="18" t="s">
        <v>275</v>
      </c>
      <c r="E16" s="8">
        <v>18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276</v>
      </c>
      <c r="B24" s="18" t="s">
        <v>276</v>
      </c>
      <c r="C24" s="18" t="s">
        <v>276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360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35" xr:uid="{00000000-0004-0000-2400-000000000000}"/>
    <hyperlink ref="F2" location="'13.3.35E'!A1" display="18" xr:uid="{00000000-0004-0000-2400-000001000000}"/>
    <hyperlink ref="E10" location="'13.3.35E'!A1" display="'13.3.35E'!A1" xr:uid="{00000000-0004-0000-2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148</v>
      </c>
      <c r="B2" s="5" t="s">
        <v>149</v>
      </c>
      <c r="C2" s="5" t="s">
        <v>30</v>
      </c>
      <c r="D2" s="5" t="s">
        <v>150</v>
      </c>
      <c r="E2" s="5" t="s">
        <v>44</v>
      </c>
      <c r="F2" s="5" t="s">
        <v>151</v>
      </c>
      <c r="G2" s="5">
        <v>26.571387213040001</v>
      </c>
      <c r="H2" s="5">
        <v>31.845807574828445</v>
      </c>
      <c r="I2" s="5">
        <v>841.36623612696758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13</v>
      </c>
      <c r="D8" s="8" t="s">
        <v>292</v>
      </c>
      <c r="E8" s="8">
        <v>26.419217842198766</v>
      </c>
    </row>
    <row r="9" spans="1:9">
      <c r="A9" s="8" t="s">
        <v>246</v>
      </c>
      <c r="B9" s="8" t="s">
        <v>246</v>
      </c>
      <c r="C9" s="8">
        <f>SUBTOTAL(109,Criteria_Summary13.3.36[Elementos])</f>
        <v>13</v>
      </c>
      <c r="D9" s="8" t="s">
        <v>246</v>
      </c>
      <c r="E9" s="8">
        <f>SUBTOTAL(109,Criteria_Summary13.3.36[Total])</f>
        <v>26.419217842198766</v>
      </c>
    </row>
    <row r="10" spans="1:9">
      <c r="A10" s="9" t="s">
        <v>247</v>
      </c>
      <c r="B10" s="9">
        <v>0</v>
      </c>
      <c r="C10" s="10"/>
      <c r="D10" s="10"/>
      <c r="E10" s="9">
        <v>26.42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13</v>
      </c>
      <c r="C16" s="18" t="s">
        <v>293</v>
      </c>
      <c r="D16" s="18" t="s">
        <v>293</v>
      </c>
      <c r="E16" s="8">
        <v>26.419217842198766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351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352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361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6" xr:uid="{00000000-0004-0000-2500-000000000000}"/>
    <hyperlink ref="F2" location="'13.3.36E'!A1" display="26,42" xr:uid="{00000000-0004-0000-2500-000001000000}"/>
    <hyperlink ref="E10" location="'13.3.36E'!A1" display="'13.3.36E'!A1" xr:uid="{00000000-0004-0000-2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152</v>
      </c>
      <c r="B2" s="5" t="s">
        <v>153</v>
      </c>
      <c r="C2" s="5" t="s">
        <v>30</v>
      </c>
      <c r="D2" s="5" t="s">
        <v>154</v>
      </c>
      <c r="E2" s="5" t="s">
        <v>44</v>
      </c>
      <c r="F2" s="5" t="s">
        <v>155</v>
      </c>
      <c r="G2" s="5">
        <v>35.070081026719997</v>
      </c>
      <c r="H2" s="5">
        <v>42.031492110523921</v>
      </c>
      <c r="I2" s="5">
        <v>3315.4440976781266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97</v>
      </c>
      <c r="D8" s="8" t="s">
        <v>292</v>
      </c>
      <c r="E8" s="8">
        <v>78.883321104088793</v>
      </c>
    </row>
    <row r="9" spans="1:9">
      <c r="A9" s="8" t="s">
        <v>246</v>
      </c>
      <c r="B9" s="8" t="s">
        <v>246</v>
      </c>
      <c r="C9" s="8">
        <f>SUBTOTAL(109,Criteria_Summary13.3.37[Elementos])</f>
        <v>97</v>
      </c>
      <c r="D9" s="8" t="s">
        <v>246</v>
      </c>
      <c r="E9" s="8">
        <f>SUBTOTAL(109,Criteria_Summary13.3.37[Total])</f>
        <v>78.883321104088793</v>
      </c>
    </row>
    <row r="10" spans="1:9">
      <c r="A10" s="9" t="s">
        <v>247</v>
      </c>
      <c r="B10" s="9">
        <v>0</v>
      </c>
      <c r="C10" s="10"/>
      <c r="D10" s="10"/>
      <c r="E10" s="9">
        <v>78.88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97</v>
      </c>
      <c r="C16" s="18" t="s">
        <v>293</v>
      </c>
      <c r="D16" s="18" t="s">
        <v>293</v>
      </c>
      <c r="E16" s="8">
        <v>78.883321104088793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351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352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302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7" xr:uid="{00000000-0004-0000-2600-000000000000}"/>
    <hyperlink ref="F2" location="'13.3.37E'!A1" display="78,88" xr:uid="{00000000-0004-0000-2600-000001000000}"/>
    <hyperlink ref="E10" location="'13.3.37E'!A1" display="'13.3.37E'!A1" xr:uid="{00000000-0004-0000-2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18</v>
      </c>
      <c r="B2" s="5" t="s">
        <v>19</v>
      </c>
      <c r="C2" s="5" t="s">
        <v>20</v>
      </c>
      <c r="D2" s="5" t="s">
        <v>21</v>
      </c>
      <c r="E2" s="5" t="s">
        <v>16</v>
      </c>
      <c r="F2" s="5" t="s">
        <v>268</v>
      </c>
      <c r="G2" s="5">
        <v>131.479793836</v>
      </c>
      <c r="H2" s="5">
        <v>157.57853291244601</v>
      </c>
      <c r="I2" s="5">
        <v>3781.8847898987042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24</v>
      </c>
      <c r="D8" s="8" t="s">
        <v>245</v>
      </c>
      <c r="E8" s="8">
        <v>24</v>
      </c>
    </row>
    <row r="9" spans="1:9">
      <c r="A9" s="8" t="s">
        <v>246</v>
      </c>
      <c r="B9" s="8" t="s">
        <v>246</v>
      </c>
      <c r="C9" s="8">
        <f>SUBTOTAL(109,Criteria_Summary13.3.2[Elementos])</f>
        <v>24</v>
      </c>
      <c r="D9" s="8" t="s">
        <v>246</v>
      </c>
      <c r="E9" s="8">
        <f>SUBTOTAL(109,Criteria_Summary13.3.2[Total])</f>
        <v>24</v>
      </c>
    </row>
    <row r="10" spans="1:9">
      <c r="A10" s="9" t="s">
        <v>247</v>
      </c>
      <c r="B10" s="9">
        <v>0</v>
      </c>
      <c r="C10" s="10"/>
      <c r="D10" s="10"/>
      <c r="E10" s="9">
        <v>24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24</v>
      </c>
      <c r="C16" s="18" t="s">
        <v>249</v>
      </c>
      <c r="D16" s="18" t="s">
        <v>249</v>
      </c>
      <c r="E16" s="8">
        <v>24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269</v>
      </c>
      <c r="B24" s="18" t="s">
        <v>269</v>
      </c>
      <c r="C24" s="18" t="s">
        <v>269</v>
      </c>
      <c r="D24" s="8" t="s">
        <v>270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36.75">
      <c r="A28" s="8" t="s">
        <v>241</v>
      </c>
      <c r="B28" s="8" t="s">
        <v>271</v>
      </c>
      <c r="C28" s="8" t="s">
        <v>272</v>
      </c>
      <c r="D28" s="8" t="s">
        <v>4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2" xr:uid="{00000000-0004-0000-0300-000000000000}"/>
    <hyperlink ref="F2" location="'13.3.2E'!A1" display="24" xr:uid="{00000000-0004-0000-0300-000001000000}"/>
    <hyperlink ref="E10" location="'13.3.2E'!A1" display="'13.3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156</v>
      </c>
      <c r="B2" s="5" t="s">
        <v>157</v>
      </c>
      <c r="C2" s="5" t="s">
        <v>30</v>
      </c>
      <c r="D2" s="5" t="s">
        <v>158</v>
      </c>
      <c r="E2" s="5" t="s">
        <v>44</v>
      </c>
      <c r="F2" s="5" t="s">
        <v>159</v>
      </c>
      <c r="G2" s="5">
        <v>65.863313864440002</v>
      </c>
      <c r="H2" s="5">
        <v>78.937181666531345</v>
      </c>
      <c r="I2" s="5">
        <v>401.79025468264456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292</v>
      </c>
      <c r="E8" s="8">
        <v>5.0928011442179164</v>
      </c>
    </row>
    <row r="9" spans="1:9">
      <c r="A9" s="8" t="s">
        <v>246</v>
      </c>
      <c r="B9" s="8" t="s">
        <v>246</v>
      </c>
      <c r="C9" s="8">
        <f>SUBTOTAL(109,Criteria_Summary13.3.38[Elementos])</f>
        <v>2</v>
      </c>
      <c r="D9" s="8" t="s">
        <v>246</v>
      </c>
      <c r="E9" s="8">
        <f>SUBTOTAL(109,Criteria_Summary13.3.38[Total])</f>
        <v>5.0928011442179164</v>
      </c>
    </row>
    <row r="10" spans="1:9">
      <c r="A10" s="9" t="s">
        <v>247</v>
      </c>
      <c r="B10" s="9">
        <v>0</v>
      </c>
      <c r="C10" s="10"/>
      <c r="D10" s="10"/>
      <c r="E10" s="9">
        <v>5.09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293</v>
      </c>
      <c r="D16" s="18" t="s">
        <v>293</v>
      </c>
      <c r="E16" s="8">
        <v>5.0928011442179164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351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352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362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8" xr:uid="{00000000-0004-0000-2700-000000000000}"/>
    <hyperlink ref="F2" location="'13.3.38E'!A1" display="5,09" xr:uid="{00000000-0004-0000-2700-000001000000}"/>
    <hyperlink ref="E10" location="'13.3.38E'!A1" display="'13.3.38E'!A1" xr:uid="{00000000-0004-0000-2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DFF0D8"/>
  </sheetPr>
  <dimension ref="A1:I25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160</v>
      </c>
      <c r="B2" s="5" t="s">
        <v>161</v>
      </c>
      <c r="C2" s="5" t="s">
        <v>25</v>
      </c>
      <c r="D2" s="5" t="s">
        <v>162</v>
      </c>
      <c r="E2" s="5" t="s">
        <v>44</v>
      </c>
      <c r="F2" s="5" t="s">
        <v>163</v>
      </c>
      <c r="G2" s="5">
        <v>50.55</v>
      </c>
      <c r="H2" s="5">
        <v>60.584175000000002</v>
      </c>
      <c r="I2" s="5">
        <v>4547.4481755000006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292</v>
      </c>
      <c r="E8" s="8">
        <v>75.055200809699954</v>
      </c>
    </row>
    <row r="9" spans="1:9">
      <c r="A9" s="8" t="s">
        <v>246</v>
      </c>
      <c r="B9" s="8" t="s">
        <v>246</v>
      </c>
      <c r="C9" s="8">
        <f>SUBTOTAL(109,Criteria_Summary13.3.39[Elementos])</f>
        <v>18</v>
      </c>
      <c r="D9" s="8" t="s">
        <v>246</v>
      </c>
      <c r="E9" s="8">
        <f>SUBTOTAL(109,Criteria_Summary13.3.39[Total])</f>
        <v>75.055200809699954</v>
      </c>
    </row>
    <row r="10" spans="1:9">
      <c r="A10" s="9" t="s">
        <v>247</v>
      </c>
      <c r="B10" s="9">
        <v>0</v>
      </c>
      <c r="C10" s="10"/>
      <c r="D10" s="10"/>
      <c r="E10" s="9">
        <v>75.06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293</v>
      </c>
      <c r="D16" s="18" t="s">
        <v>293</v>
      </c>
      <c r="E16" s="8">
        <v>75.055200809699954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363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36.75">
      <c r="A24" s="8" t="s">
        <v>241</v>
      </c>
      <c r="B24" s="8" t="s">
        <v>271</v>
      </c>
      <c r="C24" s="8" t="s">
        <v>364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362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9" xr:uid="{00000000-0004-0000-2800-000000000000}"/>
    <hyperlink ref="F2" location="'13.3.39E'!A1" display="75,06" xr:uid="{00000000-0004-0000-2800-000001000000}"/>
    <hyperlink ref="E10" location="'13.3.39E'!A1" display="'13.3.39E'!A1" xr:uid="{00000000-0004-0000-2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DFF0D8"/>
  </sheetPr>
  <dimension ref="A1:I29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164</v>
      </c>
      <c r="B2" s="5" t="s">
        <v>165</v>
      </c>
      <c r="C2" s="5" t="s">
        <v>30</v>
      </c>
      <c r="D2" s="5" t="s">
        <v>166</v>
      </c>
      <c r="E2" s="5" t="s">
        <v>44</v>
      </c>
      <c r="F2" s="5" t="s">
        <v>167</v>
      </c>
      <c r="G2" s="5">
        <v>62.590513354599999</v>
      </c>
      <c r="H2" s="5">
        <v>75.014730255488104</v>
      </c>
      <c r="I2" s="5">
        <v>8650.6986930628882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14</v>
      </c>
      <c r="D8" s="8" t="s">
        <v>292</v>
      </c>
      <c r="E8" s="8">
        <v>115.32406921922414</v>
      </c>
    </row>
    <row r="9" spans="1:9">
      <c r="A9" s="8" t="s">
        <v>246</v>
      </c>
      <c r="B9" s="8" t="s">
        <v>246</v>
      </c>
      <c r="C9" s="8">
        <f>SUBTOTAL(109,Criteria_Summary13.3.40[Elementos])</f>
        <v>14</v>
      </c>
      <c r="D9" s="8" t="s">
        <v>246</v>
      </c>
      <c r="E9" s="8">
        <f>SUBTOTAL(109,Criteria_Summary13.3.40[Total])</f>
        <v>115.32406921922414</v>
      </c>
    </row>
    <row r="10" spans="1:9">
      <c r="A10" s="9" t="s">
        <v>247</v>
      </c>
      <c r="B10" s="9">
        <v>0</v>
      </c>
      <c r="C10" s="10"/>
      <c r="D10" s="10"/>
      <c r="E10" s="9">
        <v>115.32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14</v>
      </c>
      <c r="C16" s="18" t="s">
        <v>293</v>
      </c>
      <c r="D16" s="18" t="s">
        <v>293</v>
      </c>
      <c r="E16" s="8">
        <v>115.32406921922414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294</v>
      </c>
      <c r="B24" s="18" t="s">
        <v>294</v>
      </c>
      <c r="C24" s="18" t="s">
        <v>294</v>
      </c>
      <c r="D24" s="8" t="s">
        <v>365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36.75">
      <c r="A28" s="8" t="s">
        <v>241</v>
      </c>
      <c r="B28" s="8" t="s">
        <v>271</v>
      </c>
      <c r="C28" s="8" t="s">
        <v>364</v>
      </c>
      <c r="D28" s="8" t="s">
        <v>4</v>
      </c>
      <c r="E28" s="8" t="s">
        <v>267</v>
      </c>
    </row>
    <row r="29" spans="1:5">
      <c r="A29" s="8" t="s">
        <v>263</v>
      </c>
      <c r="B29" s="8" t="s">
        <v>271</v>
      </c>
      <c r="C29" s="8" t="s">
        <v>302</v>
      </c>
      <c r="D29" s="8" t="s">
        <v>297</v>
      </c>
      <c r="E29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0" xr:uid="{00000000-0004-0000-2900-000000000000}"/>
    <hyperlink ref="F2" location="'13.3.40E'!A1" display="115,32" xr:uid="{00000000-0004-0000-2900-000001000000}"/>
    <hyperlink ref="E10" location="'13.3.40E'!A1" display="'13.3.40E'!A1" xr:uid="{00000000-0004-0000-2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DFF0D8"/>
  </sheetPr>
  <dimension ref="A1:I29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168</v>
      </c>
      <c r="B2" s="5" t="s">
        <v>169</v>
      </c>
      <c r="C2" s="5" t="s">
        <v>30</v>
      </c>
      <c r="D2" s="5" t="s">
        <v>170</v>
      </c>
      <c r="E2" s="5" t="s">
        <v>44</v>
      </c>
      <c r="F2" s="5" t="s">
        <v>171</v>
      </c>
      <c r="G2" s="5">
        <v>108.7150672554</v>
      </c>
      <c r="H2" s="5">
        <v>130.29500810559691</v>
      </c>
      <c r="I2" s="5">
        <v>14391.083645263179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292</v>
      </c>
      <c r="E8" s="8">
        <v>110.44696197336609</v>
      </c>
    </row>
    <row r="9" spans="1:9">
      <c r="A9" s="8" t="s">
        <v>246</v>
      </c>
      <c r="B9" s="8" t="s">
        <v>246</v>
      </c>
      <c r="C9" s="8">
        <f>SUBTOTAL(109,Criteria_Summary13.3.41[Elementos])</f>
        <v>18</v>
      </c>
      <c r="D9" s="8" t="s">
        <v>246</v>
      </c>
      <c r="E9" s="8">
        <f>SUBTOTAL(109,Criteria_Summary13.3.41[Total])</f>
        <v>110.44696197336609</v>
      </c>
    </row>
    <row r="10" spans="1:9">
      <c r="A10" s="9" t="s">
        <v>247</v>
      </c>
      <c r="B10" s="9">
        <v>0</v>
      </c>
      <c r="C10" s="10"/>
      <c r="D10" s="10"/>
      <c r="E10" s="9">
        <v>110.45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293</v>
      </c>
      <c r="D16" s="18" t="s">
        <v>293</v>
      </c>
      <c r="E16" s="8">
        <v>110.44696197336609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294</v>
      </c>
      <c r="B24" s="18" t="s">
        <v>294</v>
      </c>
      <c r="C24" s="18" t="s">
        <v>294</v>
      </c>
      <c r="D24" s="8" t="s">
        <v>365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36.75">
      <c r="A28" s="8" t="s">
        <v>241</v>
      </c>
      <c r="B28" s="8" t="s">
        <v>271</v>
      </c>
      <c r="C28" s="8" t="s">
        <v>364</v>
      </c>
      <c r="D28" s="8" t="s">
        <v>4</v>
      </c>
      <c r="E28" s="8" t="s">
        <v>267</v>
      </c>
    </row>
    <row r="29" spans="1:5">
      <c r="A29" s="8" t="s">
        <v>263</v>
      </c>
      <c r="B29" s="8" t="s">
        <v>271</v>
      </c>
      <c r="C29" s="8" t="s">
        <v>362</v>
      </c>
      <c r="D29" s="8" t="s">
        <v>297</v>
      </c>
      <c r="E29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1" xr:uid="{00000000-0004-0000-2A00-000000000000}"/>
    <hyperlink ref="F2" location="'13.3.41E'!A1" display="110,45" xr:uid="{00000000-0004-0000-2A00-000001000000}"/>
    <hyperlink ref="E10" location="'13.3.41E'!A1" display="'13.3.41E'!A1" xr:uid="{00000000-0004-0000-2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172</v>
      </c>
      <c r="B2" s="5" t="s">
        <v>173</v>
      </c>
      <c r="C2" s="5" t="s">
        <v>174</v>
      </c>
      <c r="D2" s="5" t="s">
        <v>175</v>
      </c>
      <c r="E2" s="5" t="s">
        <v>16</v>
      </c>
      <c r="F2" s="5" t="s">
        <v>349</v>
      </c>
      <c r="G2" s="5">
        <v>32.244</v>
      </c>
      <c r="H2" s="5">
        <v>38.644434000000004</v>
      </c>
      <c r="I2" s="5">
        <v>231.86660400000002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6</v>
      </c>
      <c r="D8" s="8" t="s">
        <v>274</v>
      </c>
      <c r="E8" s="8">
        <v>6</v>
      </c>
    </row>
    <row r="9" spans="1:9">
      <c r="A9" s="8" t="s">
        <v>246</v>
      </c>
      <c r="B9" s="8" t="s">
        <v>246</v>
      </c>
      <c r="C9" s="8">
        <f>SUBTOTAL(109,Criteria_Summary13.3.42[Elementos])</f>
        <v>6</v>
      </c>
      <c r="D9" s="8" t="s">
        <v>246</v>
      </c>
      <c r="E9" s="8">
        <f>SUBTOTAL(109,Criteria_Summary13.3.42[Total])</f>
        <v>6</v>
      </c>
    </row>
    <row r="10" spans="1:9">
      <c r="A10" s="9" t="s">
        <v>247</v>
      </c>
      <c r="B10" s="9">
        <v>0</v>
      </c>
      <c r="C10" s="10"/>
      <c r="D10" s="10"/>
      <c r="E10" s="9">
        <v>6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6</v>
      </c>
      <c r="C16" s="18" t="s">
        <v>275</v>
      </c>
      <c r="D16" s="18" t="s">
        <v>275</v>
      </c>
      <c r="E16" s="8">
        <v>6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366</v>
      </c>
      <c r="B24" s="18" t="s">
        <v>366</v>
      </c>
      <c r="C24" s="18" t="s">
        <v>366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367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2" xr:uid="{00000000-0004-0000-2B00-000000000000}"/>
    <hyperlink ref="F2" location="'13.3.42E'!A1" display="6" xr:uid="{00000000-0004-0000-2B00-000001000000}"/>
    <hyperlink ref="E10" location="'13.3.42E'!A1" display="'13.3.42E'!A1" xr:uid="{00000000-0004-0000-2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176</v>
      </c>
      <c r="B2" s="5" t="s">
        <v>177</v>
      </c>
      <c r="C2" s="5" t="s">
        <v>174</v>
      </c>
      <c r="D2" s="5" t="s">
        <v>178</v>
      </c>
      <c r="E2" s="5" t="s">
        <v>16</v>
      </c>
      <c r="F2" s="5" t="s">
        <v>239</v>
      </c>
      <c r="G2" s="5">
        <v>32.711799999999997</v>
      </c>
      <c r="H2" s="5">
        <v>39.205092299999997</v>
      </c>
      <c r="I2" s="5">
        <v>705.69166139999993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307</v>
      </c>
      <c r="E8" s="8">
        <v>18</v>
      </c>
    </row>
    <row r="9" spans="1:9">
      <c r="A9" s="8" t="s">
        <v>246</v>
      </c>
      <c r="B9" s="8" t="s">
        <v>246</v>
      </c>
      <c r="C9" s="8">
        <f>SUBTOTAL(109,Criteria_Summary13.3.43[Elementos])</f>
        <v>18</v>
      </c>
      <c r="D9" s="8" t="s">
        <v>246</v>
      </c>
      <c r="E9" s="8">
        <f>SUBTOTAL(109,Criteria_Summary13.3.43[Total])</f>
        <v>18</v>
      </c>
    </row>
    <row r="10" spans="1:9">
      <c r="A10" s="9" t="s">
        <v>247</v>
      </c>
      <c r="B10" s="9">
        <v>0</v>
      </c>
      <c r="C10" s="10"/>
      <c r="D10" s="10"/>
      <c r="E10" s="9">
        <v>18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275</v>
      </c>
      <c r="D16" s="18" t="s">
        <v>275</v>
      </c>
      <c r="E16" s="8">
        <v>18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366</v>
      </c>
      <c r="B24" s="18" t="s">
        <v>366</v>
      </c>
      <c r="C24" s="18" t="s">
        <v>366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368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3" xr:uid="{00000000-0004-0000-2C00-000000000000}"/>
    <hyperlink ref="F2" location="'13.3.43E'!A1" display="18" xr:uid="{00000000-0004-0000-2C00-000001000000}"/>
    <hyperlink ref="E10" location="'13.3.43E'!A1" display="'13.3.43E'!A1" xr:uid="{00000000-0004-0000-2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179</v>
      </c>
      <c r="B2" s="5" t="s">
        <v>180</v>
      </c>
      <c r="C2" s="5" t="s">
        <v>174</v>
      </c>
      <c r="D2" s="5" t="s">
        <v>181</v>
      </c>
      <c r="E2" s="5" t="s">
        <v>16</v>
      </c>
      <c r="F2" s="5" t="s">
        <v>369</v>
      </c>
      <c r="G2" s="5">
        <v>75.144000000000005</v>
      </c>
      <c r="H2" s="5">
        <v>90.060084000000018</v>
      </c>
      <c r="I2" s="5">
        <v>990.66092400000025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11</v>
      </c>
      <c r="D8" s="8" t="s">
        <v>274</v>
      </c>
      <c r="E8" s="8">
        <v>11</v>
      </c>
    </row>
    <row r="9" spans="1:9">
      <c r="A9" s="8" t="s">
        <v>246</v>
      </c>
      <c r="B9" s="8" t="s">
        <v>246</v>
      </c>
      <c r="C9" s="8">
        <f>SUBTOTAL(109,Criteria_Summary13.3.44[Elementos])</f>
        <v>11</v>
      </c>
      <c r="D9" s="8" t="s">
        <v>246</v>
      </c>
      <c r="E9" s="8">
        <f>SUBTOTAL(109,Criteria_Summary13.3.44[Total])</f>
        <v>11</v>
      </c>
    </row>
    <row r="10" spans="1:9">
      <c r="A10" s="9" t="s">
        <v>247</v>
      </c>
      <c r="B10" s="9">
        <v>0</v>
      </c>
      <c r="C10" s="10"/>
      <c r="D10" s="10"/>
      <c r="E10" s="9">
        <v>11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11</v>
      </c>
      <c r="C16" s="18" t="s">
        <v>275</v>
      </c>
      <c r="D16" s="18" t="s">
        <v>275</v>
      </c>
      <c r="E16" s="8">
        <v>11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366</v>
      </c>
      <c r="B24" s="18" t="s">
        <v>366</v>
      </c>
      <c r="C24" s="18" t="s">
        <v>366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370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4" xr:uid="{00000000-0004-0000-2D00-000000000000}"/>
    <hyperlink ref="F2" location="'13.3.44E'!A1" display="11" xr:uid="{00000000-0004-0000-2D00-000001000000}"/>
    <hyperlink ref="E10" location="'13.3.44E'!A1" display="'13.3.44E'!A1" xr:uid="{00000000-0004-0000-2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183</v>
      </c>
      <c r="B2" s="5" t="s">
        <v>184</v>
      </c>
      <c r="C2" s="5" t="s">
        <v>30</v>
      </c>
      <c r="D2" s="5" t="s">
        <v>185</v>
      </c>
      <c r="E2" s="5" t="s">
        <v>16</v>
      </c>
      <c r="F2" s="5" t="s">
        <v>239</v>
      </c>
      <c r="G2" s="5">
        <v>145.01223871197999</v>
      </c>
      <c r="H2" s="5">
        <v>173.79716809630804</v>
      </c>
      <c r="I2" s="5">
        <v>3128.3490257335447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18</v>
      </c>
      <c r="D8" s="8" t="s">
        <v>274</v>
      </c>
      <c r="E8" s="8">
        <v>18</v>
      </c>
    </row>
    <row r="9" spans="1:9">
      <c r="A9" s="8" t="s">
        <v>246</v>
      </c>
      <c r="B9" s="8" t="s">
        <v>246</v>
      </c>
      <c r="C9" s="8">
        <f>SUBTOTAL(109,Criteria_Summary13.3.45[Elementos])</f>
        <v>18</v>
      </c>
      <c r="D9" s="8" t="s">
        <v>246</v>
      </c>
      <c r="E9" s="8">
        <f>SUBTOTAL(109,Criteria_Summary13.3.45[Total])</f>
        <v>18</v>
      </c>
    </row>
    <row r="10" spans="1:9">
      <c r="A10" s="9" t="s">
        <v>247</v>
      </c>
      <c r="B10" s="9">
        <v>0</v>
      </c>
      <c r="C10" s="10"/>
      <c r="D10" s="10"/>
      <c r="E10" s="9">
        <v>18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18</v>
      </c>
      <c r="C16" s="18" t="s">
        <v>275</v>
      </c>
      <c r="D16" s="18" t="s">
        <v>275</v>
      </c>
      <c r="E16" s="8">
        <v>18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366</v>
      </c>
      <c r="B24" s="18" t="s">
        <v>366</v>
      </c>
      <c r="C24" s="18" t="s">
        <v>366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371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5" xr:uid="{00000000-0004-0000-2E00-000000000000}"/>
    <hyperlink ref="F2" location="'13.3.45E'!A1" display="18" xr:uid="{00000000-0004-0000-2E00-000001000000}"/>
    <hyperlink ref="E10" location="'13.3.45E'!A1" display="'13.3.45E'!A1" xr:uid="{00000000-0004-0000-2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186</v>
      </c>
      <c r="B2" s="5" t="s">
        <v>187</v>
      </c>
      <c r="C2" s="5" t="s">
        <v>30</v>
      </c>
      <c r="D2" s="5" t="s">
        <v>188</v>
      </c>
      <c r="E2" s="5" t="s">
        <v>16</v>
      </c>
      <c r="F2" s="5" t="s">
        <v>280</v>
      </c>
      <c r="G2" s="5">
        <v>76.524966972000001</v>
      </c>
      <c r="H2" s="5">
        <v>91.715172915942006</v>
      </c>
      <c r="I2" s="5">
        <v>91.715172915942006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274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SUBTOTAL(109,Criteria_Summary13.3.46[Elementos])</f>
        <v>1</v>
      </c>
      <c r="D9" s="8" t="s">
        <v>246</v>
      </c>
      <c r="E9" s="8">
        <f>SUBTOTAL(109,Criteria_Summary13.3.46[Total])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372</v>
      </c>
      <c r="B24" s="18" t="s">
        <v>372</v>
      </c>
      <c r="C24" s="18" t="s">
        <v>372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329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6" xr:uid="{00000000-0004-0000-2F00-000000000000}"/>
    <hyperlink ref="F2" location="'13.3.46E'!A1" display="1" xr:uid="{00000000-0004-0000-2F00-000001000000}"/>
    <hyperlink ref="E10" location="'13.3.46E'!A1" display="'13.3.46E'!A1" xr:uid="{00000000-0004-0000-2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189</v>
      </c>
      <c r="B2" s="5" t="s">
        <v>89</v>
      </c>
      <c r="C2" s="5" t="s">
        <v>25</v>
      </c>
      <c r="D2" s="5" t="s">
        <v>90</v>
      </c>
      <c r="E2" s="5" t="s">
        <v>16</v>
      </c>
      <c r="F2" s="5" t="s">
        <v>280</v>
      </c>
      <c r="G2" s="5">
        <v>3.31</v>
      </c>
      <c r="H2" s="5">
        <v>3.9670350000000005</v>
      </c>
      <c r="I2" s="5">
        <v>3.9670350000000005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307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SUBTOTAL(109,Criteria_Summary13.3.47[Elementos])</f>
        <v>1</v>
      </c>
      <c r="D9" s="8" t="s">
        <v>246</v>
      </c>
      <c r="E9" s="8">
        <f>SUBTOTAL(109,Criteria_Summary13.3.47[Total])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275</v>
      </c>
      <c r="D16" s="18" t="s">
        <v>275</v>
      </c>
      <c r="E16" s="8">
        <v>1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330</v>
      </c>
      <c r="B20" s="18" t="s">
        <v>330</v>
      </c>
      <c r="C20" s="18" t="s">
        <v>330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331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47" xr:uid="{00000000-0004-0000-3000-000000000000}"/>
    <hyperlink ref="F2" location="'13.3.47E'!A1" display="1" xr:uid="{00000000-0004-0000-3000-000001000000}"/>
    <hyperlink ref="E10" location="'13.3.47E'!A1" display="'13.3.47E'!A1" xr:uid="{00000000-0004-0000-3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23</v>
      </c>
      <c r="B2" s="5" t="s">
        <v>24</v>
      </c>
      <c r="C2" s="5" t="s">
        <v>25</v>
      </c>
      <c r="D2" s="5" t="s">
        <v>26</v>
      </c>
      <c r="E2" s="5" t="s">
        <v>16</v>
      </c>
      <c r="F2" s="5" t="s">
        <v>273</v>
      </c>
      <c r="G2" s="5">
        <v>65.81</v>
      </c>
      <c r="H2" s="5">
        <v>78.87328500000001</v>
      </c>
      <c r="I2" s="5">
        <v>236.61985500000003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3</v>
      </c>
      <c r="D8" s="8" t="s">
        <v>274</v>
      </c>
      <c r="E8" s="8">
        <v>3</v>
      </c>
    </row>
    <row r="9" spans="1:9">
      <c r="A9" s="8" t="s">
        <v>246</v>
      </c>
      <c r="B9" s="8" t="s">
        <v>246</v>
      </c>
      <c r="C9" s="8">
        <f>SUBTOTAL(109,Criteria_Summary13.3.3[Elementos])</f>
        <v>3</v>
      </c>
      <c r="D9" s="8" t="s">
        <v>246</v>
      </c>
      <c r="E9" s="8">
        <f>SUBTOTAL(109,Criteria_Summary13.3.3[Total])</f>
        <v>3</v>
      </c>
    </row>
    <row r="10" spans="1:9">
      <c r="A10" s="9" t="s">
        <v>247</v>
      </c>
      <c r="B10" s="9">
        <v>0</v>
      </c>
      <c r="C10" s="10"/>
      <c r="D10" s="10"/>
      <c r="E10" s="9">
        <v>3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3</v>
      </c>
      <c r="C16" s="18" t="s">
        <v>275</v>
      </c>
      <c r="D16" s="18" t="s">
        <v>275</v>
      </c>
      <c r="E16" s="8">
        <v>3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276</v>
      </c>
      <c r="B20" s="18" t="s">
        <v>276</v>
      </c>
      <c r="C20" s="18" t="s">
        <v>276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48.75">
      <c r="A24" s="8" t="s">
        <v>263</v>
      </c>
      <c r="B24" s="8" t="s">
        <v>271</v>
      </c>
      <c r="C24" s="8" t="s">
        <v>278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3" xr:uid="{00000000-0004-0000-0400-000000000000}"/>
    <hyperlink ref="F2" location="'13.3.3E'!A1" display="3" xr:uid="{00000000-0004-0000-0400-000001000000}"/>
    <hyperlink ref="E10" location="'13.3.3E'!A1" display="'13.3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DFF0D8"/>
  </sheetPr>
  <dimension ref="A1:I24"/>
  <sheetViews>
    <sheetView showGridLines="0" workbookViewId="0">
      <selection activeCell="C3" sqref="C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189</v>
      </c>
      <c r="B2" s="5" t="s">
        <v>191</v>
      </c>
      <c r="C2" s="5" t="s">
        <v>25</v>
      </c>
      <c r="D2" s="5" t="s">
        <v>192</v>
      </c>
      <c r="E2" s="5" t="s">
        <v>16</v>
      </c>
      <c r="F2" s="5" t="s">
        <v>320</v>
      </c>
      <c r="G2" s="5">
        <v>2.61</v>
      </c>
      <c r="H2" s="5">
        <v>3.128085</v>
      </c>
      <c r="I2" s="5">
        <v>46.921275000000001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15</v>
      </c>
      <c r="D8" s="8" t="s">
        <v>274</v>
      </c>
      <c r="E8" s="8">
        <v>15</v>
      </c>
    </row>
    <row r="9" spans="1:9">
      <c r="A9" s="8" t="s">
        <v>246</v>
      </c>
      <c r="B9" s="8" t="s">
        <v>246</v>
      </c>
      <c r="C9" s="8">
        <f>SUBTOTAL(109,Criteria_Summary13.3.48[Elementos])</f>
        <v>15</v>
      </c>
      <c r="D9" s="8" t="s">
        <v>246</v>
      </c>
      <c r="E9" s="8">
        <f>SUBTOTAL(109,Criteria_Summary13.3.48[Total])</f>
        <v>15</v>
      </c>
    </row>
    <row r="10" spans="1:9">
      <c r="A10" s="9" t="s">
        <v>247</v>
      </c>
      <c r="B10" s="9">
        <v>0</v>
      </c>
      <c r="C10" s="10"/>
      <c r="D10" s="10"/>
      <c r="E10" s="9">
        <v>15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15</v>
      </c>
      <c r="C16" s="18" t="s">
        <v>275</v>
      </c>
      <c r="D16" s="18" t="s">
        <v>275</v>
      </c>
      <c r="E16" s="8">
        <v>15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330</v>
      </c>
      <c r="B20" s="18" t="s">
        <v>330</v>
      </c>
      <c r="C20" s="18" t="s">
        <v>330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373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48" xr:uid="{00000000-0004-0000-3100-000000000000}"/>
    <hyperlink ref="F2" location="'13.3.48E'!A1" display="15" xr:uid="{00000000-0004-0000-3100-000001000000}"/>
    <hyperlink ref="E10" location="'13.3.48E'!A1" display="'13.3.48E'!A1" xr:uid="{00000000-0004-0000-3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DFF0D8"/>
  </sheetPr>
  <dimension ref="A1:I28"/>
  <sheetViews>
    <sheetView showGridLines="0" workbookViewId="0">
      <selection activeCell="D32" sqref="D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190</v>
      </c>
      <c r="B2" s="5" t="s">
        <v>194</v>
      </c>
      <c r="C2" s="5" t="s">
        <v>25</v>
      </c>
      <c r="D2" s="5" t="s">
        <v>195</v>
      </c>
      <c r="E2" s="5" t="s">
        <v>16</v>
      </c>
      <c r="F2" s="5" t="s">
        <v>327</v>
      </c>
      <c r="G2" s="5">
        <v>1.58</v>
      </c>
      <c r="H2" s="5">
        <v>1.8936300000000004</v>
      </c>
      <c r="I2" s="5">
        <v>3.7872600000000007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274</v>
      </c>
      <c r="E8" s="8">
        <v>2</v>
      </c>
    </row>
    <row r="9" spans="1:9">
      <c r="A9" s="8" t="s">
        <v>246</v>
      </c>
      <c r="B9" s="8" t="s">
        <v>246</v>
      </c>
      <c r="C9" s="8">
        <f>SUBTOTAL(109,Criteria_Summary13.3.49[Elementos])</f>
        <v>2</v>
      </c>
      <c r="D9" s="8" t="s">
        <v>246</v>
      </c>
      <c r="E9" s="8">
        <f>SUBTOTAL(109,Criteria_Summary13.3.49[Total])</f>
        <v>2</v>
      </c>
    </row>
    <row r="10" spans="1:9">
      <c r="A10" s="9" t="s">
        <v>247</v>
      </c>
      <c r="B10" s="9">
        <v>0</v>
      </c>
      <c r="C10" s="10"/>
      <c r="D10" s="10"/>
      <c r="E10" s="9">
        <v>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275</v>
      </c>
      <c r="D16" s="18" t="s">
        <v>275</v>
      </c>
      <c r="E16" s="8">
        <v>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374</v>
      </c>
      <c r="B24" s="18" t="s">
        <v>374</v>
      </c>
      <c r="C24" s="18" t="s">
        <v>374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375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9" xr:uid="{00000000-0004-0000-3200-000000000000}"/>
    <hyperlink ref="F2" location="'13.3.49E'!A1" display="2" xr:uid="{00000000-0004-0000-3200-000001000000}"/>
    <hyperlink ref="E10" location="'13.3.49E'!A1" display="'13.3.49E'!A1" xr:uid="{00000000-0004-0000-3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DFF0D8"/>
  </sheetPr>
  <dimension ref="A1:I28"/>
  <sheetViews>
    <sheetView showGridLines="0" workbookViewId="0">
      <selection activeCell="D4" sqref="D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193</v>
      </c>
      <c r="B2" s="5" t="s">
        <v>197</v>
      </c>
      <c r="C2" s="5" t="s">
        <v>25</v>
      </c>
      <c r="D2" s="5" t="s">
        <v>198</v>
      </c>
      <c r="E2" s="5" t="s">
        <v>16</v>
      </c>
      <c r="F2" s="5" t="s">
        <v>376</v>
      </c>
      <c r="G2" s="5">
        <v>0.65</v>
      </c>
      <c r="H2" s="5">
        <v>0.77902500000000008</v>
      </c>
      <c r="I2" s="5">
        <v>79.460550000000012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102</v>
      </c>
      <c r="D8" s="8" t="s">
        <v>274</v>
      </c>
      <c r="E8" s="8">
        <v>102</v>
      </c>
    </row>
    <row r="9" spans="1:9">
      <c r="A9" s="8" t="s">
        <v>246</v>
      </c>
      <c r="B9" s="8" t="s">
        <v>246</v>
      </c>
      <c r="C9" s="8">
        <f>SUBTOTAL(109,Criteria_Summary13.3.50[Elementos])</f>
        <v>102</v>
      </c>
      <c r="D9" s="8" t="s">
        <v>246</v>
      </c>
      <c r="E9" s="8">
        <f>SUBTOTAL(109,Criteria_Summary13.3.50[Total])</f>
        <v>102</v>
      </c>
    </row>
    <row r="10" spans="1:9">
      <c r="A10" s="9" t="s">
        <v>247</v>
      </c>
      <c r="B10" s="9">
        <v>0</v>
      </c>
      <c r="C10" s="10"/>
      <c r="D10" s="10"/>
      <c r="E10" s="9">
        <v>102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102</v>
      </c>
      <c r="C16" s="18" t="s">
        <v>275</v>
      </c>
      <c r="D16" s="18" t="s">
        <v>275</v>
      </c>
      <c r="E16" s="8">
        <v>102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374</v>
      </c>
      <c r="B24" s="18" t="s">
        <v>374</v>
      </c>
      <c r="C24" s="18" t="s">
        <v>374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377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50" xr:uid="{00000000-0004-0000-3300-000000000000}"/>
    <hyperlink ref="F2" location="'13.3.50E'!A1" display="102" xr:uid="{00000000-0004-0000-3300-000001000000}"/>
    <hyperlink ref="E10" location="'13.3.50E'!A1" display="'13.3.50E'!A1" xr:uid="{00000000-0004-0000-3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DFF0D8"/>
  </sheetPr>
  <dimension ref="A1:I28"/>
  <sheetViews>
    <sheetView showGridLines="0" workbookViewId="0">
      <selection activeCell="C4" sqref="C4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196</v>
      </c>
      <c r="B2" s="5" t="s">
        <v>105</v>
      </c>
      <c r="C2" s="5" t="s">
        <v>30</v>
      </c>
      <c r="D2" s="5" t="s">
        <v>106</v>
      </c>
      <c r="E2" s="5" t="s">
        <v>16</v>
      </c>
      <c r="F2" s="5" t="s">
        <v>341</v>
      </c>
      <c r="G2" s="5">
        <v>12.237350879059999</v>
      </c>
      <c r="H2" s="5">
        <v>14.666465028553411</v>
      </c>
      <c r="I2" s="5">
        <v>425.32748582804891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29</v>
      </c>
      <c r="D8" s="8" t="s">
        <v>274</v>
      </c>
      <c r="E8" s="8">
        <v>29</v>
      </c>
    </row>
    <row r="9" spans="1:9">
      <c r="A9" s="8" t="s">
        <v>246</v>
      </c>
      <c r="B9" s="8" t="s">
        <v>246</v>
      </c>
      <c r="C9" s="8">
        <f>SUBTOTAL(109,Criteria_Summary13.3.51[Elementos])</f>
        <v>29</v>
      </c>
      <c r="D9" s="8" t="s">
        <v>246</v>
      </c>
      <c r="E9" s="8">
        <f>SUBTOTAL(109,Criteria_Summary13.3.51[Total])</f>
        <v>29</v>
      </c>
    </row>
    <row r="10" spans="1:9">
      <c r="A10" s="9" t="s">
        <v>247</v>
      </c>
      <c r="B10" s="9">
        <v>0</v>
      </c>
      <c r="C10" s="10"/>
      <c r="D10" s="10"/>
      <c r="E10" s="9">
        <v>29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29</v>
      </c>
      <c r="C16" s="18" t="s">
        <v>275</v>
      </c>
      <c r="D16" s="18" t="s">
        <v>275</v>
      </c>
      <c r="E16" s="8">
        <v>29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342</v>
      </c>
      <c r="B24" s="18" t="s">
        <v>342</v>
      </c>
      <c r="C24" s="18" t="s">
        <v>342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72.75">
      <c r="A28" s="8" t="s">
        <v>263</v>
      </c>
      <c r="B28" s="8" t="s">
        <v>271</v>
      </c>
      <c r="C28" s="8" t="s">
        <v>378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51" xr:uid="{00000000-0004-0000-3400-000000000000}"/>
    <hyperlink ref="F2" location="'13.3.51E'!A1" display="29" xr:uid="{00000000-0004-0000-3400-000001000000}"/>
    <hyperlink ref="E10" location="'13.3.51E'!A1" display="'13.3.51E'!A1" xr:uid="{00000000-0004-0000-3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rgb="FFDFF0D8"/>
  </sheetPr>
  <dimension ref="A1:I28"/>
  <sheetViews>
    <sheetView showGridLines="0" workbookViewId="0">
      <selection activeCell="D33" sqref="D33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200</v>
      </c>
      <c r="B2" s="5" t="s">
        <v>202</v>
      </c>
      <c r="C2" s="5" t="s">
        <v>25</v>
      </c>
      <c r="D2" s="5" t="s">
        <v>203</v>
      </c>
      <c r="E2" s="5" t="s">
        <v>16</v>
      </c>
      <c r="F2" s="5" t="s">
        <v>288</v>
      </c>
      <c r="G2" s="5">
        <v>1.25</v>
      </c>
      <c r="H2" s="5">
        <v>1.4981250000000002</v>
      </c>
      <c r="I2" s="5">
        <v>32.958750000000002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22</v>
      </c>
      <c r="D8" s="8" t="s">
        <v>274</v>
      </c>
      <c r="E8" s="8">
        <v>22</v>
      </c>
    </row>
    <row r="9" spans="1:9">
      <c r="A9" s="8" t="s">
        <v>246</v>
      </c>
      <c r="B9" s="8" t="s">
        <v>246</v>
      </c>
      <c r="C9" s="8">
        <f>SUBTOTAL(109,Criteria_Summary13.3.52[Elementos])</f>
        <v>22</v>
      </c>
      <c r="D9" s="8" t="s">
        <v>246</v>
      </c>
      <c r="E9" s="8">
        <f>SUBTOTAL(109,Criteria_Summary13.3.52[Total])</f>
        <v>22</v>
      </c>
    </row>
    <row r="10" spans="1:9">
      <c r="A10" s="9" t="s">
        <v>247</v>
      </c>
      <c r="B10" s="9">
        <v>0</v>
      </c>
      <c r="C10" s="10"/>
      <c r="D10" s="10"/>
      <c r="E10" s="9">
        <v>22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22</v>
      </c>
      <c r="C16" s="18" t="s">
        <v>275</v>
      </c>
      <c r="D16" s="18" t="s">
        <v>275</v>
      </c>
      <c r="E16" s="8">
        <v>22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344</v>
      </c>
      <c r="B24" s="18" t="s">
        <v>344</v>
      </c>
      <c r="C24" s="18" t="s">
        <v>344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345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52" xr:uid="{00000000-0004-0000-3500-000000000000}"/>
    <hyperlink ref="F2" location="'13.3.52E'!A1" display="22" xr:uid="{00000000-0004-0000-3500-000001000000}"/>
    <hyperlink ref="E10" location="'13.3.52E'!A1" display="'13.3.52E'!A1" xr:uid="{00000000-0004-0000-3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DFF0D8"/>
  </sheetPr>
  <dimension ref="A1:I29"/>
  <sheetViews>
    <sheetView showGridLines="0" workbookViewId="0">
      <selection activeCell="C31" sqref="C3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201</v>
      </c>
      <c r="B2" s="5" t="s">
        <v>205</v>
      </c>
      <c r="C2" s="5" t="s">
        <v>30</v>
      </c>
      <c r="D2" s="5" t="s">
        <v>206</v>
      </c>
      <c r="E2" s="5" t="s">
        <v>44</v>
      </c>
      <c r="F2" s="5" t="s">
        <v>207</v>
      </c>
      <c r="G2" s="5">
        <v>159.58798326199999</v>
      </c>
      <c r="H2" s="5">
        <v>191.26619793950701</v>
      </c>
      <c r="I2" s="5">
        <v>3387.3243655086694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</v>
      </c>
      <c r="D8" s="8" t="s">
        <v>292</v>
      </c>
      <c r="E8" s="8">
        <v>17.712293229304894</v>
      </c>
    </row>
    <row r="9" spans="1:9">
      <c r="A9" s="8" t="s">
        <v>246</v>
      </c>
      <c r="B9" s="8" t="s">
        <v>246</v>
      </c>
      <c r="C9" s="8">
        <f>SUBTOTAL(109,Criteria_Summary13.3.53[Elementos])</f>
        <v>4</v>
      </c>
      <c r="D9" s="8" t="s">
        <v>246</v>
      </c>
      <c r="E9" s="8">
        <f>SUBTOTAL(109,Criteria_Summary13.3.53[Total])</f>
        <v>17.712293229304894</v>
      </c>
    </row>
    <row r="10" spans="1:9">
      <c r="A10" s="9" t="s">
        <v>247</v>
      </c>
      <c r="B10" s="9">
        <v>0</v>
      </c>
      <c r="C10" s="10"/>
      <c r="D10" s="10"/>
      <c r="E10" s="9">
        <v>17.71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</v>
      </c>
      <c r="C16" s="18" t="s">
        <v>293</v>
      </c>
      <c r="D16" s="18" t="s">
        <v>293</v>
      </c>
      <c r="E16" s="8">
        <v>17.712293229304894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294</v>
      </c>
      <c r="B24" s="18" t="s">
        <v>294</v>
      </c>
      <c r="C24" s="18" t="s">
        <v>294</v>
      </c>
      <c r="D24" s="8" t="s">
        <v>365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36.75">
      <c r="A28" s="8" t="s">
        <v>241</v>
      </c>
      <c r="B28" s="8" t="s">
        <v>271</v>
      </c>
      <c r="C28" s="8" t="s">
        <v>364</v>
      </c>
      <c r="D28" s="8" t="s">
        <v>4</v>
      </c>
      <c r="E28" s="8" t="s">
        <v>267</v>
      </c>
    </row>
    <row r="29" spans="1:5">
      <c r="A29" s="8" t="s">
        <v>263</v>
      </c>
      <c r="B29" s="8" t="s">
        <v>271</v>
      </c>
      <c r="C29" s="8" t="s">
        <v>379</v>
      </c>
      <c r="D29" s="8" t="s">
        <v>297</v>
      </c>
      <c r="E29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53" xr:uid="{00000000-0004-0000-3600-000000000000}"/>
    <hyperlink ref="F2" location="'13.3.53E'!A1" display="17,71" xr:uid="{00000000-0004-0000-3600-000001000000}"/>
    <hyperlink ref="E10" location="'13.3.53E'!A1" display="'13.3.53E'!A1" xr:uid="{00000000-0004-0000-3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DFF0D8"/>
  </sheetPr>
  <dimension ref="A1:I20"/>
  <sheetViews>
    <sheetView showGridLines="0" workbookViewId="0">
      <selection activeCell="D25" sqref="D25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204</v>
      </c>
      <c r="B2" s="5" t="s">
        <v>209</v>
      </c>
      <c r="C2" s="5" t="s">
        <v>30</v>
      </c>
      <c r="D2" s="5" t="s">
        <v>210</v>
      </c>
      <c r="E2" s="5" t="s">
        <v>44</v>
      </c>
      <c r="F2" s="5" t="s">
        <v>380</v>
      </c>
      <c r="G2" s="5">
        <v>447.36873348839998</v>
      </c>
      <c r="H2" s="5">
        <v>536.17142708584743</v>
      </c>
      <c r="I2" s="5">
        <v>106269.17684841495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40</v>
      </c>
      <c r="D8" s="8" t="s">
        <v>298</v>
      </c>
      <c r="E8" s="8">
        <v>198.20446691546587</v>
      </c>
    </row>
    <row r="9" spans="1:9">
      <c r="A9" s="8" t="s">
        <v>246</v>
      </c>
      <c r="B9" s="8" t="s">
        <v>246</v>
      </c>
      <c r="C9" s="8">
        <f>SUBTOTAL(109,Criteria_Summary13.3.54[Elementos])</f>
        <v>40</v>
      </c>
      <c r="D9" s="8" t="s">
        <v>246</v>
      </c>
      <c r="E9" s="8">
        <f>SUBTOTAL(109,Criteria_Summary13.3.54[Total])</f>
        <v>198.20446691546587</v>
      </c>
    </row>
    <row r="10" spans="1:9">
      <c r="A10" s="9" t="s">
        <v>247</v>
      </c>
      <c r="B10" s="9">
        <v>0</v>
      </c>
      <c r="C10" s="10"/>
      <c r="D10" s="10"/>
      <c r="E10" s="9">
        <v>198.2</v>
      </c>
    </row>
    <row r="13" spans="1:9">
      <c r="A13" s="15" t="s">
        <v>298</v>
      </c>
      <c r="B13" s="15" t="s">
        <v>298</v>
      </c>
      <c r="C13" s="15" t="s">
        <v>298</v>
      </c>
      <c r="D13" s="15" t="s">
        <v>298</v>
      </c>
      <c r="E13" s="15" t="s">
        <v>298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40</v>
      </c>
      <c r="C16" s="18" t="s">
        <v>293</v>
      </c>
      <c r="D16" s="18" t="s">
        <v>293</v>
      </c>
      <c r="E16" s="8">
        <v>198.20446691546587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381</v>
      </c>
      <c r="E20" s="8" t="s">
        <v>254</v>
      </c>
    </row>
  </sheetData>
  <mergeCells count="9">
    <mergeCell ref="C16:D16"/>
    <mergeCell ref="A18:E18"/>
    <mergeCell ref="A19"/>
    <mergeCell ref="A20:C20"/>
    <mergeCell ref="A5:E5"/>
    <mergeCell ref="A6:E6"/>
    <mergeCell ref="A13:E13"/>
    <mergeCell ref="A14:E14"/>
    <mergeCell ref="C15:D15"/>
  </mergeCells>
  <hyperlinks>
    <hyperlink ref="A2" location="'13.3'!A1" display="13.3.54" xr:uid="{00000000-0004-0000-3700-000000000000}"/>
    <hyperlink ref="F2" location="'13.3.54E'!A1" display="198,2" xr:uid="{00000000-0004-0000-3700-000001000000}"/>
    <hyperlink ref="E10" location="'13.3.54E'!A1" display="'13.3.54E'!A1" xr:uid="{00000000-0004-0000-3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212</v>
      </c>
      <c r="B2" s="5" t="s">
        <v>191</v>
      </c>
      <c r="C2" s="5" t="s">
        <v>25</v>
      </c>
      <c r="D2" s="5" t="s">
        <v>192</v>
      </c>
      <c r="E2" s="5" t="s">
        <v>16</v>
      </c>
      <c r="F2" s="5" t="s">
        <v>320</v>
      </c>
      <c r="G2" s="5">
        <v>2.61</v>
      </c>
      <c r="H2" s="5">
        <v>3.128085</v>
      </c>
      <c r="I2" s="5">
        <v>46.921275000000001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15</v>
      </c>
      <c r="D8" s="8" t="s">
        <v>307</v>
      </c>
      <c r="E8" s="8">
        <v>15</v>
      </c>
    </row>
    <row r="9" spans="1:9">
      <c r="A9" s="8" t="s">
        <v>246</v>
      </c>
      <c r="B9" s="8" t="s">
        <v>246</v>
      </c>
      <c r="C9" s="8">
        <f>SUBTOTAL(109,Criteria_Summary13.3.55[Elementos])</f>
        <v>15</v>
      </c>
      <c r="D9" s="8" t="s">
        <v>246</v>
      </c>
      <c r="E9" s="8">
        <f>SUBTOTAL(109,Criteria_Summary13.3.55[Total])</f>
        <v>15</v>
      </c>
    </row>
    <row r="10" spans="1:9">
      <c r="A10" s="9" t="s">
        <v>247</v>
      </c>
      <c r="B10" s="9">
        <v>0</v>
      </c>
      <c r="C10" s="10"/>
      <c r="D10" s="10"/>
      <c r="E10" s="9">
        <v>15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15</v>
      </c>
      <c r="C16" s="18" t="s">
        <v>275</v>
      </c>
      <c r="D16" s="18" t="s">
        <v>275</v>
      </c>
      <c r="E16" s="8">
        <v>15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330</v>
      </c>
      <c r="B20" s="18" t="s">
        <v>330</v>
      </c>
      <c r="C20" s="18" t="s">
        <v>330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60.75">
      <c r="A24" s="8" t="s">
        <v>263</v>
      </c>
      <c r="B24" s="8" t="s">
        <v>271</v>
      </c>
      <c r="C24" s="8" t="s">
        <v>373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55" xr:uid="{00000000-0004-0000-3800-000000000000}"/>
    <hyperlink ref="F2" location="'13.3.55E'!A1" display="15" xr:uid="{00000000-0004-0000-3800-000001000000}"/>
    <hyperlink ref="E10" location="'13.3.55E'!A1" display="'13.3.55E'!A1" xr:uid="{00000000-0004-0000-3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DFF0D8"/>
  </sheetPr>
  <dimension ref="A1:I24"/>
  <sheetViews>
    <sheetView showGridLines="0" workbookViewId="0">
      <selection activeCell="D30" sqref="D3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208</v>
      </c>
      <c r="B2" s="5" t="s">
        <v>214</v>
      </c>
      <c r="C2" s="5" t="s">
        <v>25</v>
      </c>
      <c r="D2" s="5" t="s">
        <v>215</v>
      </c>
      <c r="E2" s="5" t="s">
        <v>16</v>
      </c>
      <c r="F2" s="5" t="s">
        <v>382</v>
      </c>
      <c r="G2" s="5">
        <v>5.75</v>
      </c>
      <c r="H2" s="5">
        <v>6.8913750000000009</v>
      </c>
      <c r="I2" s="5">
        <v>282.54637500000001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41</v>
      </c>
      <c r="D8" s="8" t="s">
        <v>307</v>
      </c>
      <c r="E8" s="8">
        <v>41</v>
      </c>
    </row>
    <row r="9" spans="1:9">
      <c r="A9" s="8" t="s">
        <v>246</v>
      </c>
      <c r="B9" s="8" t="s">
        <v>246</v>
      </c>
      <c r="C9" s="8">
        <f>SUBTOTAL(109,Criteria_Summary13.3.56[Elementos])</f>
        <v>41</v>
      </c>
      <c r="D9" s="8" t="s">
        <v>246</v>
      </c>
      <c r="E9" s="8">
        <f>SUBTOTAL(109,Criteria_Summary13.3.56[Total])</f>
        <v>41</v>
      </c>
    </row>
    <row r="10" spans="1:9">
      <c r="A10" s="9" t="s">
        <v>247</v>
      </c>
      <c r="B10" s="9">
        <v>0</v>
      </c>
      <c r="C10" s="10"/>
      <c r="D10" s="10"/>
      <c r="E10" s="9">
        <v>41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41</v>
      </c>
      <c r="C16" s="18" t="s">
        <v>275</v>
      </c>
      <c r="D16" s="18" t="s">
        <v>275</v>
      </c>
      <c r="E16" s="8">
        <v>41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276</v>
      </c>
      <c r="B20" s="18" t="s">
        <v>276</v>
      </c>
      <c r="C20" s="18" t="s">
        <v>276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48.75">
      <c r="A24" s="8" t="s">
        <v>263</v>
      </c>
      <c r="B24" s="8" t="s">
        <v>271</v>
      </c>
      <c r="C24" s="8" t="s">
        <v>383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56" xr:uid="{00000000-0004-0000-3900-000000000000}"/>
    <hyperlink ref="F2" location="'13.3.56E'!A1" display="41" xr:uid="{00000000-0004-0000-3900-000001000000}"/>
    <hyperlink ref="E10" location="'13.3.56E'!A1" display="'13.3.56E'!A1" xr:uid="{00000000-0004-0000-3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DFF0D8"/>
  </sheetPr>
  <dimension ref="A1:I24"/>
  <sheetViews>
    <sheetView showGridLines="0" workbookViewId="0">
      <selection activeCell="D29" sqref="D29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212</v>
      </c>
      <c r="B2" s="5" t="s">
        <v>218</v>
      </c>
      <c r="C2" s="5" t="s">
        <v>25</v>
      </c>
      <c r="D2" s="5" t="s">
        <v>219</v>
      </c>
      <c r="E2" s="5" t="s">
        <v>16</v>
      </c>
      <c r="F2" s="5" t="s">
        <v>384</v>
      </c>
      <c r="G2" s="5">
        <v>7.06</v>
      </c>
      <c r="H2" s="5">
        <v>8.4614100000000008</v>
      </c>
      <c r="I2" s="5">
        <v>355.37922000000003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42</v>
      </c>
      <c r="D8" s="8" t="s">
        <v>307</v>
      </c>
      <c r="E8" s="8">
        <v>42</v>
      </c>
    </row>
    <row r="9" spans="1:9">
      <c r="A9" s="8" t="s">
        <v>246</v>
      </c>
      <c r="B9" s="8" t="s">
        <v>246</v>
      </c>
      <c r="C9" s="8">
        <f>SUBTOTAL(109,Criteria_Summary13.3.57[Elementos])</f>
        <v>42</v>
      </c>
      <c r="D9" s="8" t="s">
        <v>246</v>
      </c>
      <c r="E9" s="8">
        <f>SUBTOTAL(109,Criteria_Summary13.3.57[Total])</f>
        <v>42</v>
      </c>
    </row>
    <row r="10" spans="1:9">
      <c r="A10" s="9" t="s">
        <v>247</v>
      </c>
      <c r="B10" s="9">
        <v>0</v>
      </c>
      <c r="C10" s="10"/>
      <c r="D10" s="10"/>
      <c r="E10" s="9">
        <v>42</v>
      </c>
    </row>
    <row r="13" spans="1:9">
      <c r="A13" s="15" t="s">
        <v>307</v>
      </c>
      <c r="B13" s="15" t="s">
        <v>307</v>
      </c>
      <c r="C13" s="15" t="s">
        <v>307</v>
      </c>
      <c r="D13" s="15" t="s">
        <v>307</v>
      </c>
      <c r="E13" s="15" t="s">
        <v>307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42</v>
      </c>
      <c r="C16" s="18" t="s">
        <v>275</v>
      </c>
      <c r="D16" s="18" t="s">
        <v>275</v>
      </c>
      <c r="E16" s="8">
        <v>42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276</v>
      </c>
      <c r="B20" s="18" t="s">
        <v>276</v>
      </c>
      <c r="C20" s="18" t="s">
        <v>276</v>
      </c>
      <c r="D20" s="8" t="s">
        <v>277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48.75">
      <c r="A24" s="8" t="s">
        <v>263</v>
      </c>
      <c r="B24" s="8" t="s">
        <v>271</v>
      </c>
      <c r="C24" s="8" t="s">
        <v>385</v>
      </c>
      <c r="D24" s="8" t="s">
        <v>279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57" xr:uid="{00000000-0004-0000-3A00-000000000000}"/>
    <hyperlink ref="F2" location="'13.3.57E'!A1" display="42" xr:uid="{00000000-0004-0000-3A00-000001000000}"/>
    <hyperlink ref="E10" location="'13.3.57E'!A1" display="'13.3.57E'!A1" xr:uid="{00000000-0004-0000-3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5" t="s">
        <v>28</v>
      </c>
      <c r="B2" s="5" t="s">
        <v>29</v>
      </c>
      <c r="C2" s="5" t="s">
        <v>30</v>
      </c>
      <c r="D2" s="5" t="s">
        <v>31</v>
      </c>
      <c r="E2" s="5" t="s">
        <v>16</v>
      </c>
      <c r="F2" s="5" t="s">
        <v>280</v>
      </c>
      <c r="G2" s="5">
        <v>535.15419643065127</v>
      </c>
      <c r="H2" s="5">
        <v>641.38230442213558</v>
      </c>
      <c r="I2" s="5">
        <v>641.38230442213558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</v>
      </c>
      <c r="D8" s="8" t="s">
        <v>245</v>
      </c>
      <c r="E8" s="8">
        <v>1</v>
      </c>
    </row>
    <row r="9" spans="1:9">
      <c r="A9" s="8" t="s">
        <v>246</v>
      </c>
      <c r="B9" s="8" t="s">
        <v>246</v>
      </c>
      <c r="C9" s="8">
        <f>SUBTOTAL(109,Criteria_Summary13.3.4[Elementos])</f>
        <v>1</v>
      </c>
      <c r="D9" s="8" t="s">
        <v>246</v>
      </c>
      <c r="E9" s="8">
        <f>SUBTOTAL(109,Criteria_Summary13.3.4[Total])</f>
        <v>1</v>
      </c>
    </row>
    <row r="10" spans="1:9">
      <c r="A10" s="9" t="s">
        <v>247</v>
      </c>
      <c r="B10" s="9">
        <v>0</v>
      </c>
      <c r="C10" s="10"/>
      <c r="D10" s="10"/>
      <c r="E10" s="9">
        <v>1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</v>
      </c>
      <c r="C16" s="18" t="s">
        <v>249</v>
      </c>
      <c r="D16" s="18" t="s">
        <v>249</v>
      </c>
      <c r="E16" s="8">
        <v>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281</v>
      </c>
      <c r="B24" s="18" t="s">
        <v>281</v>
      </c>
      <c r="C24" s="18" t="s">
        <v>281</v>
      </c>
      <c r="D24" s="8" t="s">
        <v>282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48.75">
      <c r="A28" s="8" t="s">
        <v>263</v>
      </c>
      <c r="B28" s="8" t="s">
        <v>271</v>
      </c>
      <c r="C28" s="8" t="s">
        <v>283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4" xr:uid="{00000000-0004-0000-0500-000000000000}"/>
    <hyperlink ref="F2" location="'13.3.4E'!A1" display="1" xr:uid="{00000000-0004-0000-0500-000001000000}"/>
    <hyperlink ref="E10" location="'13.3.4E'!A1" display="'13.3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DFF0D8"/>
  </sheetPr>
  <dimension ref="A1:I25"/>
  <sheetViews>
    <sheetView showGridLines="0" workbookViewId="0">
      <selection activeCell="C32" sqref="C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>
      <c r="A2" s="23" t="s">
        <v>213</v>
      </c>
      <c r="B2" s="5" t="s">
        <v>222</v>
      </c>
      <c r="C2" s="5" t="s">
        <v>30</v>
      </c>
      <c r="D2" s="5" t="s">
        <v>223</v>
      </c>
      <c r="E2" s="5" t="s">
        <v>44</v>
      </c>
      <c r="F2" s="5" t="s">
        <v>224</v>
      </c>
      <c r="G2" s="5">
        <v>59.054547363040001</v>
      </c>
      <c r="H2" s="5">
        <v>70.776875014603448</v>
      </c>
      <c r="I2" s="5">
        <v>1517.456200313098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14</v>
      </c>
      <c r="D8" s="8" t="s">
        <v>298</v>
      </c>
      <c r="E8" s="8">
        <v>21.436623764501487</v>
      </c>
    </row>
    <row r="9" spans="1:9">
      <c r="A9" s="8" t="s">
        <v>246</v>
      </c>
      <c r="B9" s="8" t="s">
        <v>246</v>
      </c>
      <c r="C9" s="8">
        <f>SUBTOTAL(109,Criteria_Summary13.3.58[Elementos])</f>
        <v>14</v>
      </c>
      <c r="D9" s="8" t="s">
        <v>246</v>
      </c>
      <c r="E9" s="8">
        <f>SUBTOTAL(109,Criteria_Summary13.3.58[Total])</f>
        <v>21.436623764501487</v>
      </c>
    </row>
    <row r="10" spans="1:9">
      <c r="A10" s="9" t="s">
        <v>247</v>
      </c>
      <c r="B10" s="9">
        <v>0</v>
      </c>
      <c r="C10" s="10"/>
      <c r="D10" s="10"/>
      <c r="E10" s="9">
        <v>21.44</v>
      </c>
    </row>
    <row r="13" spans="1:9">
      <c r="A13" s="15" t="s">
        <v>298</v>
      </c>
      <c r="B13" s="15" t="s">
        <v>298</v>
      </c>
      <c r="C13" s="15" t="s">
        <v>298</v>
      </c>
      <c r="D13" s="15" t="s">
        <v>298</v>
      </c>
      <c r="E13" s="15" t="s">
        <v>298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14</v>
      </c>
      <c r="C16" s="18" t="s">
        <v>293</v>
      </c>
      <c r="D16" s="18" t="s">
        <v>293</v>
      </c>
      <c r="E16" s="8">
        <v>21.436623764501487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294</v>
      </c>
      <c r="B20" s="18" t="s">
        <v>294</v>
      </c>
      <c r="C20" s="18" t="s">
        <v>294</v>
      </c>
      <c r="D20" s="8" t="s">
        <v>386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24.75">
      <c r="A24" s="8" t="s">
        <v>241</v>
      </c>
      <c r="B24" s="8" t="s">
        <v>271</v>
      </c>
      <c r="C24" s="8" t="s">
        <v>387</v>
      </c>
      <c r="D24" s="8" t="s">
        <v>4</v>
      </c>
      <c r="E24" s="8" t="s">
        <v>267</v>
      </c>
    </row>
    <row r="25" spans="1:5">
      <c r="A25" s="8" t="s">
        <v>263</v>
      </c>
      <c r="B25" s="8" t="s">
        <v>271</v>
      </c>
      <c r="C25" s="8" t="s">
        <v>302</v>
      </c>
      <c r="D25" s="8" t="s">
        <v>297</v>
      </c>
      <c r="E25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58" xr:uid="{00000000-0004-0000-3B00-000000000000}"/>
    <hyperlink ref="F2" location="'13.3.58E'!A1" display="21,44" xr:uid="{00000000-0004-0000-3B00-000001000000}"/>
    <hyperlink ref="E10" location="'13.3.58E'!A1" display="'13.3.58E'!A1" xr:uid="{00000000-0004-0000-3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tabColor rgb="FFDFF0D8"/>
  </sheetPr>
  <dimension ref="A1:I20"/>
  <sheetViews>
    <sheetView showGridLines="0" workbookViewId="0">
      <selection activeCell="D29" sqref="D29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217</v>
      </c>
      <c r="B2" s="5" t="s">
        <v>226</v>
      </c>
      <c r="C2" s="5" t="s">
        <v>25</v>
      </c>
      <c r="D2" s="5" t="s">
        <v>227</v>
      </c>
      <c r="E2" s="5" t="s">
        <v>44</v>
      </c>
      <c r="F2" s="5" t="s">
        <v>207</v>
      </c>
      <c r="G2" s="5">
        <v>36.720282727292798</v>
      </c>
      <c r="H2" s="5">
        <v>44.009258848660423</v>
      </c>
      <c r="I2" s="5">
        <v>779.40397420977615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4</v>
      </c>
      <c r="D8" s="8" t="s">
        <v>298</v>
      </c>
      <c r="E8" s="8">
        <v>17.712293229304894</v>
      </c>
    </row>
    <row r="9" spans="1:9">
      <c r="A9" s="8" t="s">
        <v>246</v>
      </c>
      <c r="B9" s="8" t="s">
        <v>246</v>
      </c>
      <c r="C9" s="8">
        <f>SUBTOTAL(109,Criteria_Summary13.3.59[Elementos])</f>
        <v>4</v>
      </c>
      <c r="D9" s="8" t="s">
        <v>246</v>
      </c>
      <c r="E9" s="8">
        <f>SUBTOTAL(109,Criteria_Summary13.3.59[Total])</f>
        <v>17.712293229304894</v>
      </c>
    </row>
    <row r="10" spans="1:9">
      <c r="A10" s="9" t="s">
        <v>247</v>
      </c>
      <c r="B10" s="9">
        <v>0</v>
      </c>
      <c r="C10" s="10"/>
      <c r="D10" s="10"/>
      <c r="E10" s="9">
        <v>17.71</v>
      </c>
    </row>
    <row r="13" spans="1:9">
      <c r="A13" s="15" t="s">
        <v>298</v>
      </c>
      <c r="B13" s="15" t="s">
        <v>298</v>
      </c>
      <c r="C13" s="15" t="s">
        <v>298</v>
      </c>
      <c r="D13" s="15" t="s">
        <v>298</v>
      </c>
      <c r="E13" s="15" t="s">
        <v>298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4</v>
      </c>
      <c r="C16" s="18" t="s">
        <v>293</v>
      </c>
      <c r="D16" s="18" t="s">
        <v>293</v>
      </c>
      <c r="E16" s="8">
        <v>17.712293229304894</v>
      </c>
    </row>
    <row r="18" spans="1:5">
      <c r="A18" s="19" t="s">
        <v>259</v>
      </c>
      <c r="B18" s="19" t="s">
        <v>259</v>
      </c>
      <c r="C18" s="19" t="s">
        <v>259</v>
      </c>
      <c r="D18" s="19" t="s">
        <v>259</v>
      </c>
      <c r="E18" s="19" t="s">
        <v>259</v>
      </c>
    </row>
    <row r="19" spans="1:5">
      <c r="A19" s="11" t="s">
        <v>241</v>
      </c>
      <c r="B19" s="11" t="s">
        <v>260</v>
      </c>
      <c r="C19" s="11" t="s">
        <v>261</v>
      </c>
      <c r="D19" s="11" t="s">
        <v>262</v>
      </c>
      <c r="E19" s="11"/>
    </row>
    <row r="20" spans="1:5">
      <c r="A20" s="8" t="s">
        <v>263</v>
      </c>
      <c r="B20" s="8" t="s">
        <v>271</v>
      </c>
      <c r="C20" s="8" t="s">
        <v>379</v>
      </c>
      <c r="D20" s="8" t="s">
        <v>297</v>
      </c>
      <c r="E20" s="8" t="s">
        <v>267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3'!A1" display="13.3.59" xr:uid="{00000000-0004-0000-3C00-000000000000}"/>
    <hyperlink ref="F2" location="'13.3.59E'!A1" display="17,71" xr:uid="{00000000-0004-0000-3C00-000001000000}"/>
    <hyperlink ref="E10" location="'13.3.59E'!A1" display="'13.3.59E'!A1" xr:uid="{00000000-0004-0000-3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tabColor rgb="FFDFF0D8"/>
  </sheetPr>
  <dimension ref="A1:I28"/>
  <sheetViews>
    <sheetView showGridLines="0" workbookViewId="0">
      <selection activeCell="D30" sqref="D30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221</v>
      </c>
      <c r="B2" s="5" t="s">
        <v>229</v>
      </c>
      <c r="C2" s="5" t="s">
        <v>30</v>
      </c>
      <c r="D2" s="5" t="s">
        <v>230</v>
      </c>
      <c r="E2" s="5" t="s">
        <v>16</v>
      </c>
      <c r="F2" s="5" t="s">
        <v>349</v>
      </c>
      <c r="G2" s="5">
        <v>59.734891780159998</v>
      </c>
      <c r="H2" s="5">
        <v>71.59226779852176</v>
      </c>
      <c r="I2" s="5">
        <v>429.55360679113056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6</v>
      </c>
      <c r="D8" s="8" t="s">
        <v>274</v>
      </c>
      <c r="E8" s="8">
        <v>6</v>
      </c>
    </row>
    <row r="9" spans="1:9">
      <c r="A9" s="8" t="s">
        <v>246</v>
      </c>
      <c r="B9" s="8" t="s">
        <v>246</v>
      </c>
      <c r="C9" s="8">
        <f>SUBTOTAL(109,Criteria_Summary13.3.60[Elementos])</f>
        <v>6</v>
      </c>
      <c r="D9" s="8" t="s">
        <v>246</v>
      </c>
      <c r="E9" s="8">
        <f>SUBTOTAL(109,Criteria_Summary13.3.60[Total])</f>
        <v>6</v>
      </c>
    </row>
    <row r="10" spans="1:9">
      <c r="A10" s="9" t="s">
        <v>247</v>
      </c>
      <c r="B10" s="9">
        <v>0</v>
      </c>
      <c r="C10" s="10"/>
      <c r="D10" s="10"/>
      <c r="E10" s="9">
        <v>6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6</v>
      </c>
      <c r="C16" s="18" t="s">
        <v>275</v>
      </c>
      <c r="D16" s="18" t="s">
        <v>275</v>
      </c>
      <c r="E16" s="8">
        <v>6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338</v>
      </c>
      <c r="B24" s="18" t="s">
        <v>338</v>
      </c>
      <c r="C24" s="18" t="s">
        <v>338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388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60" xr:uid="{00000000-0004-0000-3D00-000000000000}"/>
    <hyperlink ref="F2" location="'13.3.60E'!A1" display="6" xr:uid="{00000000-0004-0000-3D00-000001000000}"/>
    <hyperlink ref="E10" location="'13.3.60E'!A1" display="'13.3.60E'!A1" xr:uid="{00000000-0004-0000-3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DFF0D8"/>
  </sheetPr>
  <dimension ref="A1:I28"/>
  <sheetViews>
    <sheetView showGridLines="0" workbookViewId="0">
      <selection activeCell="D32" sqref="D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225</v>
      </c>
      <c r="B2" s="5" t="s">
        <v>232</v>
      </c>
      <c r="C2" s="5" t="s">
        <v>30</v>
      </c>
      <c r="D2" s="5" t="s">
        <v>233</v>
      </c>
      <c r="E2" s="5" t="s">
        <v>16</v>
      </c>
      <c r="F2" s="5" t="s">
        <v>389</v>
      </c>
      <c r="G2" s="5">
        <v>48.241150669500001</v>
      </c>
      <c r="H2" s="5">
        <v>57.817019077395756</v>
      </c>
      <c r="I2" s="5">
        <v>1792.3275913992684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31</v>
      </c>
      <c r="D8" s="8" t="s">
        <v>274</v>
      </c>
      <c r="E8" s="8">
        <v>31</v>
      </c>
    </row>
    <row r="9" spans="1:9">
      <c r="A9" s="8" t="s">
        <v>246</v>
      </c>
      <c r="B9" s="8" t="s">
        <v>246</v>
      </c>
      <c r="C9" s="8">
        <f>SUBTOTAL(109,Criteria_Summary13.3.61[Elementos])</f>
        <v>31</v>
      </c>
      <c r="D9" s="8" t="s">
        <v>246</v>
      </c>
      <c r="E9" s="8">
        <f>SUBTOTAL(109,Criteria_Summary13.3.61[Total])</f>
        <v>31</v>
      </c>
    </row>
    <row r="10" spans="1:9">
      <c r="A10" s="9" t="s">
        <v>247</v>
      </c>
      <c r="B10" s="9">
        <v>0</v>
      </c>
      <c r="C10" s="10"/>
      <c r="D10" s="10"/>
      <c r="E10" s="9">
        <v>31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31</v>
      </c>
      <c r="C16" s="18" t="s">
        <v>275</v>
      </c>
      <c r="D16" s="18" t="s">
        <v>275</v>
      </c>
      <c r="E16" s="8">
        <v>31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338</v>
      </c>
      <c r="B24" s="18" t="s">
        <v>338</v>
      </c>
      <c r="C24" s="18" t="s">
        <v>338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390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61" xr:uid="{00000000-0004-0000-3E00-000000000000}"/>
    <hyperlink ref="F2" location="'13.3.61E'!A1" display="31" xr:uid="{00000000-0004-0000-3E00-000001000000}"/>
    <hyperlink ref="E10" location="'13.3.61E'!A1" display="'13.3.61E'!A1" xr:uid="{00000000-0004-0000-3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tabColor rgb="FFDFF0D8"/>
  </sheetPr>
  <dimension ref="A1:I28"/>
  <sheetViews>
    <sheetView showGridLines="0" workbookViewId="0">
      <selection activeCell="D31" sqref="D31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228</v>
      </c>
      <c r="B2" s="5" t="s">
        <v>235</v>
      </c>
      <c r="C2" s="5" t="s">
        <v>174</v>
      </c>
      <c r="D2" s="5" t="s">
        <v>236</v>
      </c>
      <c r="E2" s="5" t="s">
        <v>16</v>
      </c>
      <c r="F2" s="5" t="s">
        <v>327</v>
      </c>
      <c r="G2" s="5">
        <v>185.21600000000001</v>
      </c>
      <c r="H2" s="5">
        <v>221.98137600000004</v>
      </c>
      <c r="I2" s="5">
        <v>443.96275200000008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</v>
      </c>
      <c r="D8" s="8" t="s">
        <v>274</v>
      </c>
      <c r="E8" s="8">
        <v>2</v>
      </c>
    </row>
    <row r="9" spans="1:9">
      <c r="A9" s="8" t="s">
        <v>246</v>
      </c>
      <c r="B9" s="8" t="s">
        <v>246</v>
      </c>
      <c r="C9" s="8">
        <f>SUBTOTAL(109,Criteria_Summary13.3.62[Elementos])</f>
        <v>2</v>
      </c>
      <c r="D9" s="8" t="s">
        <v>246</v>
      </c>
      <c r="E9" s="8">
        <f>SUBTOTAL(109,Criteria_Summary13.3.62[Total])</f>
        <v>2</v>
      </c>
    </row>
    <row r="10" spans="1:9">
      <c r="A10" s="9" t="s">
        <v>247</v>
      </c>
      <c r="B10" s="9">
        <v>0</v>
      </c>
      <c r="C10" s="10"/>
      <c r="D10" s="10"/>
      <c r="E10" s="9">
        <v>2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</v>
      </c>
      <c r="C16" s="18" t="s">
        <v>275</v>
      </c>
      <c r="D16" s="18" t="s">
        <v>275</v>
      </c>
      <c r="E16" s="8">
        <v>2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391</v>
      </c>
      <c r="B24" s="18" t="s">
        <v>391</v>
      </c>
      <c r="C24" s="18" t="s">
        <v>391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392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62" xr:uid="{00000000-0004-0000-3F00-000000000000}"/>
    <hyperlink ref="F2" location="'13.3.62E'!A1" display="2" xr:uid="{00000000-0004-0000-3F00-000001000000}"/>
    <hyperlink ref="E10" location="'13.3.62E'!A1" display="'13.3.62E'!A1" xr:uid="{00000000-0004-0000-3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DFF0D8"/>
  </sheetPr>
  <dimension ref="A1:I28"/>
  <sheetViews>
    <sheetView showGridLines="0" workbookViewId="0">
      <selection activeCell="D32" sqref="D32"/>
    </sheetView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23" t="s">
        <v>231</v>
      </c>
      <c r="B2" s="5" t="s">
        <v>237</v>
      </c>
      <c r="C2" s="5" t="s">
        <v>30</v>
      </c>
      <c r="D2" s="5" t="s">
        <v>238</v>
      </c>
      <c r="E2" s="5" t="s">
        <v>16</v>
      </c>
      <c r="F2" s="5" t="s">
        <v>273</v>
      </c>
      <c r="G2" s="5">
        <v>30.46984807794</v>
      </c>
      <c r="H2" s="5">
        <v>36.518112921411095</v>
      </c>
      <c r="I2" s="5">
        <v>109.55433876423328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3</v>
      </c>
      <c r="D8" s="8" t="s">
        <v>274</v>
      </c>
      <c r="E8" s="8">
        <v>3</v>
      </c>
    </row>
    <row r="9" spans="1:9">
      <c r="A9" s="8" t="s">
        <v>246</v>
      </c>
      <c r="B9" s="8" t="s">
        <v>246</v>
      </c>
      <c r="C9" s="8">
        <f>SUBTOTAL(109,Criteria_Summary13.3.63[Elementos])</f>
        <v>3</v>
      </c>
      <c r="D9" s="8" t="s">
        <v>246</v>
      </c>
      <c r="E9" s="8">
        <f>SUBTOTAL(109,Criteria_Summary13.3.63[Total])</f>
        <v>3</v>
      </c>
    </row>
    <row r="10" spans="1:9">
      <c r="A10" s="9" t="s">
        <v>247</v>
      </c>
      <c r="B10" s="9">
        <v>0</v>
      </c>
      <c r="C10" s="10"/>
      <c r="D10" s="10"/>
      <c r="E10" s="9">
        <v>3</v>
      </c>
    </row>
    <row r="13" spans="1:9">
      <c r="A13" s="15" t="s">
        <v>274</v>
      </c>
      <c r="B13" s="15" t="s">
        <v>274</v>
      </c>
      <c r="C13" s="15" t="s">
        <v>274</v>
      </c>
      <c r="D13" s="15" t="s">
        <v>274</v>
      </c>
      <c r="E13" s="15" t="s">
        <v>274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3</v>
      </c>
      <c r="C16" s="18" t="s">
        <v>275</v>
      </c>
      <c r="D16" s="18" t="s">
        <v>275</v>
      </c>
      <c r="E16" s="8">
        <v>3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338</v>
      </c>
      <c r="B24" s="18" t="s">
        <v>338</v>
      </c>
      <c r="C24" s="18" t="s">
        <v>338</v>
      </c>
      <c r="D24" s="8" t="s">
        <v>277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 ht="60.75">
      <c r="A28" s="8" t="s">
        <v>263</v>
      </c>
      <c r="B28" s="8" t="s">
        <v>271</v>
      </c>
      <c r="C28" s="8" t="s">
        <v>393</v>
      </c>
      <c r="D28" s="8" t="s">
        <v>279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63" xr:uid="{00000000-0004-0000-4000-000000000000}"/>
    <hyperlink ref="F2" location="'13.3.63E'!A1" display="3" xr:uid="{00000000-0004-0000-4000-000001000000}"/>
    <hyperlink ref="E10" location="'13.3.63E'!A1" display="'13.3.63E'!A1" xr:uid="{00000000-0004-0000-4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E25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258</v>
      </c>
      <c r="D7" s="8" t="s">
        <v>400</v>
      </c>
      <c r="E7" s="8">
        <v>1</v>
      </c>
    </row>
    <row r="8" spans="1:5" ht="24.75">
      <c r="A8" s="8" t="s">
        <v>399</v>
      </c>
      <c r="B8" s="8" t="s">
        <v>253</v>
      </c>
      <c r="C8" s="8" t="s">
        <v>258</v>
      </c>
      <c r="D8" s="8" t="s">
        <v>401</v>
      </c>
      <c r="E8" s="8">
        <v>1</v>
      </c>
    </row>
    <row r="9" spans="1:5" ht="24.75">
      <c r="A9" s="8" t="s">
        <v>399</v>
      </c>
      <c r="B9" s="8" t="s">
        <v>253</v>
      </c>
      <c r="C9" s="8" t="s">
        <v>258</v>
      </c>
      <c r="D9" s="8" t="s">
        <v>402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258</v>
      </c>
      <c r="D10" s="8" t="s">
        <v>403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258</v>
      </c>
      <c r="D11" s="8" t="s">
        <v>404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258</v>
      </c>
      <c r="D12" s="8" t="s">
        <v>405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258</v>
      </c>
      <c r="D13" s="8" t="s">
        <v>406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258</v>
      </c>
      <c r="D14" s="8" t="s">
        <v>407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258</v>
      </c>
      <c r="D15" s="8" t="s">
        <v>408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258</v>
      </c>
      <c r="D16" s="8" t="s">
        <v>409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258</v>
      </c>
      <c r="D17" s="8" t="s">
        <v>410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258</v>
      </c>
      <c r="D18" s="8" t="s">
        <v>411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258</v>
      </c>
      <c r="D19" s="8" t="s">
        <v>412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258</v>
      </c>
      <c r="D20" s="8" t="s">
        <v>413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258</v>
      </c>
      <c r="D21" s="8" t="s">
        <v>414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258</v>
      </c>
      <c r="D22" s="8" t="s">
        <v>415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258</v>
      </c>
      <c r="D23" s="8" t="s">
        <v>416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258</v>
      </c>
      <c r="D24" s="8" t="s">
        <v>417</v>
      </c>
      <c r="E24" s="8">
        <v>1</v>
      </c>
    </row>
    <row r="25" spans="1:5">
      <c r="A25" s="1" t="s">
        <v>246</v>
      </c>
      <c r="B25" s="1" t="s">
        <v>246</v>
      </c>
      <c r="C25" s="1">
        <f>SUBTOTAL(103,Elements13_3_11[Elemento])</f>
        <v>18</v>
      </c>
      <c r="D25" s="1" t="s">
        <v>246</v>
      </c>
      <c r="E25" s="1">
        <f>SUBTOTAL(109,Elements13_3_11[Totais:])</f>
        <v>18</v>
      </c>
    </row>
  </sheetData>
  <mergeCells count="3">
    <mergeCell ref="A1:E2"/>
    <mergeCell ref="A4:E4"/>
    <mergeCell ref="A5:E5"/>
  </mergeCells>
  <hyperlinks>
    <hyperlink ref="A1" location="'13.3.1'!A1" display="CAIXA SIFONADA PVC 100x150x50mm C/TAMPA CEGA" xr:uid="{00000000-0004-0000-4100-000000000000}"/>
    <hyperlink ref="B1" location="'13.3.1'!A1" display="CAIXA SIFONADA PVC 100x150x50mm C/TAMPA CEGA" xr:uid="{00000000-0004-0000-4100-000001000000}"/>
    <hyperlink ref="C1" location="'13.3.1'!A1" display="CAIXA SIFONADA PVC 100x150x50mm C/TAMPA CEGA" xr:uid="{00000000-0004-0000-4100-000002000000}"/>
    <hyperlink ref="D1" location="'13.3.1'!A1" display="CAIXA SIFONADA PVC 100x150x50mm C/TAMPA CEGA" xr:uid="{00000000-0004-0000-4100-000003000000}"/>
    <hyperlink ref="E1" location="'13.3.1'!A1" display="CAIXA SIFONADA PVC 100x150x50mm C/TAMPA CEGA" xr:uid="{00000000-0004-0000-4100-000004000000}"/>
    <hyperlink ref="A2" location="'13.3.1'!A1" display="CAIXA SIFONADA PVC 100x150x50mm C/TAMPA CEGA" xr:uid="{00000000-0004-0000-4100-000005000000}"/>
    <hyperlink ref="B2" location="'13.3.1'!A1" display="CAIXA SIFONADA PVC 100x150x50mm C/TAMPA CEGA" xr:uid="{00000000-0004-0000-4100-000006000000}"/>
    <hyperlink ref="C2" location="'13.3.1'!A1" display="CAIXA SIFONADA PVC 100x150x50mm C/TAMPA CEGA" xr:uid="{00000000-0004-0000-4100-000007000000}"/>
    <hyperlink ref="D2" location="'13.3.1'!A1" display="CAIXA SIFONADA PVC 100x150x50mm C/TAMPA CEGA" xr:uid="{00000000-0004-0000-4100-000008000000}"/>
    <hyperlink ref="E2" location="'13.3.1'!A1" display="CAIXA SIFONADA PVC 100x150x50mm C/TAMPA CEGA" xr:uid="{00000000-0004-0000-4100-000009000000}"/>
    <hyperlink ref="A4" location="'13.3.1'!A1" display="Peças hidrossanitárias (Ajuste altura furos)" xr:uid="{00000000-0004-0000-4100-00000A000000}"/>
    <hyperlink ref="B4" location="'13.3.1'!A1" display="Peças hidrossanitárias (Ajuste altura furos)" xr:uid="{00000000-0004-0000-4100-00000B000000}"/>
    <hyperlink ref="C4" location="'13.3.1'!A1" display="Peças hidrossanitárias (Ajuste altura furos)" xr:uid="{00000000-0004-0000-4100-00000C000000}"/>
    <hyperlink ref="D4" location="'13.3.1'!A1" display="Peças hidrossanitárias (Ajuste altura furos)" xr:uid="{00000000-0004-0000-4100-00000D000000}"/>
    <hyperlink ref="E4" location="'13.3.1'!A1" display="Peças hidrossanitárias (Ajuste altura furos)" xr:uid="{00000000-0004-0000-4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E3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21</v>
      </c>
      <c r="B1" s="20" t="s">
        <v>21</v>
      </c>
      <c r="C1" s="20" t="s">
        <v>21</v>
      </c>
      <c r="D1" s="20" t="s">
        <v>21</v>
      </c>
      <c r="E1" s="20" t="s">
        <v>21</v>
      </c>
    </row>
    <row r="2" spans="1:5">
      <c r="A2" s="20" t="s">
        <v>21</v>
      </c>
      <c r="B2" s="20" t="s">
        <v>21</v>
      </c>
      <c r="C2" s="20" t="s">
        <v>21</v>
      </c>
      <c r="D2" s="20" t="s">
        <v>21</v>
      </c>
      <c r="E2" s="20" t="s">
        <v>21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270</v>
      </c>
      <c r="D7" s="8" t="s">
        <v>418</v>
      </c>
      <c r="E7" s="8">
        <v>1</v>
      </c>
    </row>
    <row r="8" spans="1:5" ht="24.75">
      <c r="A8" s="8" t="s">
        <v>399</v>
      </c>
      <c r="B8" s="8" t="s">
        <v>253</v>
      </c>
      <c r="C8" s="8" t="s">
        <v>270</v>
      </c>
      <c r="D8" s="8" t="s">
        <v>419</v>
      </c>
      <c r="E8" s="8">
        <v>1</v>
      </c>
    </row>
    <row r="9" spans="1:5" ht="24.75">
      <c r="A9" s="8" t="s">
        <v>399</v>
      </c>
      <c r="B9" s="8" t="s">
        <v>253</v>
      </c>
      <c r="C9" s="8" t="s">
        <v>270</v>
      </c>
      <c r="D9" s="8" t="s">
        <v>420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270</v>
      </c>
      <c r="D10" s="8" t="s">
        <v>421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270</v>
      </c>
      <c r="D11" s="8" t="s">
        <v>422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270</v>
      </c>
      <c r="D12" s="8" t="s">
        <v>423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270</v>
      </c>
      <c r="D13" s="8" t="s">
        <v>424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270</v>
      </c>
      <c r="D14" s="8" t="s">
        <v>425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270</v>
      </c>
      <c r="D15" s="8" t="s">
        <v>426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270</v>
      </c>
      <c r="D16" s="8" t="s">
        <v>427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270</v>
      </c>
      <c r="D17" s="8" t="s">
        <v>428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270</v>
      </c>
      <c r="D18" s="8" t="s">
        <v>429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270</v>
      </c>
      <c r="D19" s="8" t="s">
        <v>430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270</v>
      </c>
      <c r="D20" s="8" t="s">
        <v>431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270</v>
      </c>
      <c r="D21" s="8" t="s">
        <v>432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270</v>
      </c>
      <c r="D22" s="8" t="s">
        <v>433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270</v>
      </c>
      <c r="D23" s="8" t="s">
        <v>434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270</v>
      </c>
      <c r="D24" s="8" t="s">
        <v>435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270</v>
      </c>
      <c r="D25" s="8" t="s">
        <v>436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270</v>
      </c>
      <c r="D26" s="8" t="s">
        <v>437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270</v>
      </c>
      <c r="D27" s="8" t="s">
        <v>438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270</v>
      </c>
      <c r="D28" s="8" t="s">
        <v>439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270</v>
      </c>
      <c r="D29" s="8" t="s">
        <v>440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270</v>
      </c>
      <c r="D30" s="8" t="s">
        <v>441</v>
      </c>
      <c r="E30" s="8">
        <v>1</v>
      </c>
    </row>
    <row r="31" spans="1:5">
      <c r="A31" s="1" t="s">
        <v>246</v>
      </c>
      <c r="B31" s="1" t="s">
        <v>246</v>
      </c>
      <c r="C31" s="1">
        <f>SUBTOTAL(103,Elements13_3_21[Elemento])</f>
        <v>24</v>
      </c>
      <c r="D31" s="1" t="s">
        <v>246</v>
      </c>
      <c r="E31" s="1">
        <f>SUBTOTAL(109,Elements13_3_21[Totais:])</f>
        <v>24</v>
      </c>
    </row>
  </sheetData>
  <mergeCells count="3">
    <mergeCell ref="A1:E2"/>
    <mergeCell ref="A4:E4"/>
    <mergeCell ref="A5:E5"/>
  </mergeCells>
  <hyperlinks>
    <hyperlink ref="A1" location="'13.3.2'!A1" display="CAIXA SIFONADA PVC 100x150x50mm COM ANTIESPUMA REF: SBC (053038)" xr:uid="{00000000-0004-0000-4200-000000000000}"/>
    <hyperlink ref="B1" location="'13.3.2'!A1" display="CAIXA SIFONADA PVC 100x150x50mm COM ANTIESPUMA REF: SBC (053038)" xr:uid="{00000000-0004-0000-4200-000001000000}"/>
    <hyperlink ref="C1" location="'13.3.2'!A1" display="CAIXA SIFONADA PVC 100x150x50mm COM ANTIESPUMA REF: SBC (053038)" xr:uid="{00000000-0004-0000-4200-000002000000}"/>
    <hyperlink ref="D1" location="'13.3.2'!A1" display="CAIXA SIFONADA PVC 100x150x50mm COM ANTIESPUMA REF: SBC (053038)" xr:uid="{00000000-0004-0000-4200-000003000000}"/>
    <hyperlink ref="E1" location="'13.3.2'!A1" display="CAIXA SIFONADA PVC 100x150x50mm COM ANTIESPUMA REF: SBC (053038)" xr:uid="{00000000-0004-0000-4200-000004000000}"/>
    <hyperlink ref="A2" location="'13.3.2'!A1" display="CAIXA SIFONADA PVC 100x150x50mm COM ANTIESPUMA REF: SBC (053038)" xr:uid="{00000000-0004-0000-4200-000005000000}"/>
    <hyperlink ref="B2" location="'13.3.2'!A1" display="CAIXA SIFONADA PVC 100x150x50mm COM ANTIESPUMA REF: SBC (053038)" xr:uid="{00000000-0004-0000-4200-000006000000}"/>
    <hyperlink ref="C2" location="'13.3.2'!A1" display="CAIXA SIFONADA PVC 100x150x50mm COM ANTIESPUMA REF: SBC (053038)" xr:uid="{00000000-0004-0000-4200-000007000000}"/>
    <hyperlink ref="D2" location="'13.3.2'!A1" display="CAIXA SIFONADA PVC 100x150x50mm COM ANTIESPUMA REF: SBC (053038)" xr:uid="{00000000-0004-0000-4200-000008000000}"/>
    <hyperlink ref="E2" location="'13.3.2'!A1" display="CAIXA SIFONADA PVC 100x150x50mm COM ANTIESPUMA REF: SBC (053038)" xr:uid="{00000000-0004-0000-4200-000009000000}"/>
    <hyperlink ref="A4" location="'13.3.2'!A1" display="Peças hidrossanitárias (Ajuste altura furos)" xr:uid="{00000000-0004-0000-4200-00000A000000}"/>
    <hyperlink ref="B4" location="'13.3.2'!A1" display="Peças hidrossanitárias (Ajuste altura furos)" xr:uid="{00000000-0004-0000-4200-00000B000000}"/>
    <hyperlink ref="C4" location="'13.3.2'!A1" display="Peças hidrossanitárias (Ajuste altura furos)" xr:uid="{00000000-0004-0000-4200-00000C000000}"/>
    <hyperlink ref="D4" location="'13.3.2'!A1" display="Peças hidrossanitárias (Ajuste altura furos)" xr:uid="{00000000-0004-0000-4200-00000D000000}"/>
    <hyperlink ref="E4" location="'13.3.2'!A1" display="Peças hidrossanitárias (Ajuste altura furos)" xr:uid="{00000000-0004-0000-4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E1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26</v>
      </c>
      <c r="B1" s="20" t="s">
        <v>26</v>
      </c>
      <c r="C1" s="20" t="s">
        <v>26</v>
      </c>
      <c r="D1" s="20" t="s">
        <v>26</v>
      </c>
      <c r="E1" s="20" t="s">
        <v>26</v>
      </c>
    </row>
    <row r="2" spans="1:5">
      <c r="A2" s="20" t="s">
        <v>26</v>
      </c>
      <c r="B2" s="20" t="s">
        <v>26</v>
      </c>
      <c r="C2" s="20" t="s">
        <v>26</v>
      </c>
      <c r="D2" s="20" t="s">
        <v>26</v>
      </c>
      <c r="E2" s="20" t="s">
        <v>26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442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443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444</v>
      </c>
      <c r="E9" s="8">
        <v>1</v>
      </c>
    </row>
    <row r="10" spans="1:5">
      <c r="A10" s="1" t="s">
        <v>246</v>
      </c>
      <c r="B10" s="1" t="s">
        <v>246</v>
      </c>
      <c r="C10" s="1">
        <f>SUBTOTAL(103,Elements13_3_31[Elemento])</f>
        <v>3</v>
      </c>
      <c r="D10" s="1" t="s">
        <v>246</v>
      </c>
      <c r="E10" s="1">
        <f>SUBTOTAL(109,Elements13_3_31[Totais:])</f>
        <v>3</v>
      </c>
    </row>
  </sheetData>
  <mergeCells count="3">
    <mergeCell ref="A1:E2"/>
    <mergeCell ref="A4:E4"/>
    <mergeCell ref="A5:E5"/>
  </mergeCells>
  <hyperlinks>
    <hyperlink ref="A1" location="'13.3.3'!A1" display="JOELHO 45º SOLDAVEL,COM DIAMETRO DE 75MM.FORNECIMENTO" xr:uid="{00000000-0004-0000-4300-000000000000}"/>
    <hyperlink ref="B1" location="'13.3.3'!A1" display="JOELHO 45º SOLDAVEL,COM DIAMETRO DE 75MM.FORNECIMENTO" xr:uid="{00000000-0004-0000-4300-000001000000}"/>
    <hyperlink ref="C1" location="'13.3.3'!A1" display="JOELHO 45º SOLDAVEL,COM DIAMETRO DE 75MM.FORNECIMENTO" xr:uid="{00000000-0004-0000-4300-000002000000}"/>
    <hyperlink ref="D1" location="'13.3.3'!A1" display="JOELHO 45º SOLDAVEL,COM DIAMETRO DE 75MM.FORNECIMENTO" xr:uid="{00000000-0004-0000-4300-000003000000}"/>
    <hyperlink ref="E1" location="'13.3.3'!A1" display="JOELHO 45º SOLDAVEL,COM DIAMETRO DE 75MM.FORNECIMENTO" xr:uid="{00000000-0004-0000-4300-000004000000}"/>
    <hyperlink ref="A2" location="'13.3.3'!A1" display="JOELHO 45º SOLDAVEL,COM DIAMETRO DE 75MM.FORNECIMENTO" xr:uid="{00000000-0004-0000-4300-000005000000}"/>
    <hyperlink ref="B2" location="'13.3.3'!A1" display="JOELHO 45º SOLDAVEL,COM DIAMETRO DE 75MM.FORNECIMENTO" xr:uid="{00000000-0004-0000-4300-000006000000}"/>
    <hyperlink ref="C2" location="'13.3.3'!A1" display="JOELHO 45º SOLDAVEL,COM DIAMETRO DE 75MM.FORNECIMENTO" xr:uid="{00000000-0004-0000-4300-000007000000}"/>
    <hyperlink ref="D2" location="'13.3.3'!A1" display="JOELHO 45º SOLDAVEL,COM DIAMETRO DE 75MM.FORNECIMENTO" xr:uid="{00000000-0004-0000-4300-000008000000}"/>
    <hyperlink ref="E2" location="'13.3.3'!A1" display="JOELHO 45º SOLDAVEL,COM DIAMETRO DE 75MM.FORNECIMENTO" xr:uid="{00000000-0004-0000-4300-000009000000}"/>
    <hyperlink ref="A4" location="'13.3.3'!A1" display="Conexões de tubo (Afastamento)" xr:uid="{00000000-0004-0000-4300-00000A000000}"/>
    <hyperlink ref="B4" location="'13.3.3'!A1" display="Conexões de tubo (Afastamento)" xr:uid="{00000000-0004-0000-4300-00000B000000}"/>
    <hyperlink ref="C4" location="'13.3.3'!A1" display="Conexões de tubo (Afastamento)" xr:uid="{00000000-0004-0000-4300-00000C000000}"/>
    <hyperlink ref="D4" location="'13.3.3'!A1" display="Conexões de tubo (Afastamento)" xr:uid="{00000000-0004-0000-4300-00000D000000}"/>
    <hyperlink ref="E4" location="'13.3.3'!A1" display="Conexões de tubo (Afastamento)" xr:uid="{00000000-0004-0000-4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31</v>
      </c>
      <c r="B1" s="20" t="s">
        <v>31</v>
      </c>
      <c r="C1" s="20" t="s">
        <v>31</v>
      </c>
      <c r="D1" s="20" t="s">
        <v>31</v>
      </c>
      <c r="E1" s="20" t="s">
        <v>31</v>
      </c>
    </row>
    <row r="2" spans="1:5">
      <c r="A2" s="20" t="s">
        <v>31</v>
      </c>
      <c r="B2" s="20" t="s">
        <v>31</v>
      </c>
      <c r="C2" s="20" t="s">
        <v>31</v>
      </c>
      <c r="D2" s="20" t="s">
        <v>31</v>
      </c>
      <c r="E2" s="20" t="s">
        <v>31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282</v>
      </c>
      <c r="D7" s="8" t="s">
        <v>445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SUBTOTAL(103,Elements13_3_41[Elemento])</f>
        <v>1</v>
      </c>
      <c r="D8" s="1" t="s">
        <v>246</v>
      </c>
      <c r="E8" s="1">
        <f>SUBTOTAL(109,Elements13_3_41[Totais:])</f>
        <v>1</v>
      </c>
    </row>
  </sheetData>
  <mergeCells count="3">
    <mergeCell ref="A1:E2"/>
    <mergeCell ref="A4:E4"/>
    <mergeCell ref="A5:E5"/>
  </mergeCells>
  <hyperlinks>
    <hyperlink ref="A1" location="'13.3.4'!A1" display="CAIXA DE GORDURA PEQUENA (CAPACIDADE: 19 L), CIRCULAR, EM PVC, DIÂMETRO INTERNO= 0,3 M. AF_12/2020" xr:uid="{00000000-0004-0000-4400-000000000000}"/>
    <hyperlink ref="B1" location="'13.3.4'!A1" display="CAIXA DE GORDURA PEQUENA (CAPACIDADE: 19 L), CIRCULAR, EM PVC, DIÂMETRO INTERNO= 0,3 M. AF_12/2020" xr:uid="{00000000-0004-0000-4400-000001000000}"/>
    <hyperlink ref="C1" location="'13.3.4'!A1" display="CAIXA DE GORDURA PEQUENA (CAPACIDADE: 19 L), CIRCULAR, EM PVC, DIÂMETRO INTERNO= 0,3 M. AF_12/2020" xr:uid="{00000000-0004-0000-4400-000002000000}"/>
    <hyperlink ref="D1" location="'13.3.4'!A1" display="CAIXA DE GORDURA PEQUENA (CAPACIDADE: 19 L), CIRCULAR, EM PVC, DIÂMETRO INTERNO= 0,3 M. AF_12/2020" xr:uid="{00000000-0004-0000-4400-000003000000}"/>
    <hyperlink ref="E1" location="'13.3.4'!A1" display="CAIXA DE GORDURA PEQUENA (CAPACIDADE: 19 L), CIRCULAR, EM PVC, DIÂMETRO INTERNO= 0,3 M. AF_12/2020" xr:uid="{00000000-0004-0000-4400-000004000000}"/>
    <hyperlink ref="A2" location="'13.3.4'!A1" display="CAIXA DE GORDURA PEQUENA (CAPACIDADE: 19 L), CIRCULAR, EM PVC, DIÂMETRO INTERNO= 0,3 M. AF_12/2020" xr:uid="{00000000-0004-0000-4400-000005000000}"/>
    <hyperlink ref="B2" location="'13.3.4'!A1" display="CAIXA DE GORDURA PEQUENA (CAPACIDADE: 19 L), CIRCULAR, EM PVC, DIÂMETRO INTERNO= 0,3 M. AF_12/2020" xr:uid="{00000000-0004-0000-4400-000006000000}"/>
    <hyperlink ref="C2" location="'13.3.4'!A1" display="CAIXA DE GORDURA PEQUENA (CAPACIDADE: 19 L), CIRCULAR, EM PVC, DIÂMETRO INTERNO= 0,3 M. AF_12/2020" xr:uid="{00000000-0004-0000-4400-000007000000}"/>
    <hyperlink ref="D2" location="'13.3.4'!A1" display="CAIXA DE GORDURA PEQUENA (CAPACIDADE: 19 L), CIRCULAR, EM PVC, DIÂMETRO INTERNO= 0,3 M. AF_12/2020" xr:uid="{00000000-0004-0000-4400-000008000000}"/>
    <hyperlink ref="E2" location="'13.3.4'!A1" display="CAIXA DE GORDURA PEQUENA (CAPACIDADE: 19 L), CIRCULAR, EM PVC, DIÂMETRO INTERNO= 0,3 M. AF_12/2020" xr:uid="{00000000-0004-0000-4400-000009000000}"/>
    <hyperlink ref="A4" location="'13.3.4'!A1" display="Peças hidrossanitárias (Ajuste altura furos)" xr:uid="{00000000-0004-0000-4400-00000A000000}"/>
    <hyperlink ref="B4" location="'13.3.4'!A1" display="Peças hidrossanitárias (Ajuste altura furos)" xr:uid="{00000000-0004-0000-4400-00000B000000}"/>
    <hyperlink ref="C4" location="'13.3.4'!A1" display="Peças hidrossanitárias (Ajuste altura furos)" xr:uid="{00000000-0004-0000-4400-00000C000000}"/>
    <hyperlink ref="D4" location="'13.3.4'!A1" display="Peças hidrossanitárias (Ajuste altura furos)" xr:uid="{00000000-0004-0000-4400-00000D000000}"/>
    <hyperlink ref="E4" location="'13.3.4'!A1" display="Peças hidrossanitárias (Ajuste altura furos)" xr:uid="{00000000-0004-0000-4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33</v>
      </c>
      <c r="B2" s="5" t="s">
        <v>34</v>
      </c>
      <c r="C2" s="5" t="s">
        <v>25</v>
      </c>
      <c r="D2" s="5" t="s">
        <v>35</v>
      </c>
      <c r="E2" s="5" t="s">
        <v>16</v>
      </c>
      <c r="F2" s="5" t="s">
        <v>284</v>
      </c>
      <c r="G2" s="5">
        <v>396.93007409559999</v>
      </c>
      <c r="H2" s="5">
        <v>475.72069380357664</v>
      </c>
      <c r="I2" s="5">
        <v>12368.738038892992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26</v>
      </c>
      <c r="D8" s="8" t="s">
        <v>245</v>
      </c>
      <c r="E8" s="8">
        <v>26</v>
      </c>
    </row>
    <row r="9" spans="1:9">
      <c r="A9" s="8" t="s">
        <v>246</v>
      </c>
      <c r="B9" s="8" t="s">
        <v>246</v>
      </c>
      <c r="C9" s="8">
        <f>SUBTOTAL(109,Criteria_Summary13.3.5[Elementos])</f>
        <v>26</v>
      </c>
      <c r="D9" s="8" t="s">
        <v>246</v>
      </c>
      <c r="E9" s="8">
        <f>SUBTOTAL(109,Criteria_Summary13.3.5[Total])</f>
        <v>26</v>
      </c>
    </row>
    <row r="10" spans="1:9">
      <c r="A10" s="9" t="s">
        <v>247</v>
      </c>
      <c r="B10" s="9">
        <v>0</v>
      </c>
      <c r="C10" s="10"/>
      <c r="D10" s="10"/>
      <c r="E10" s="9">
        <v>26</v>
      </c>
    </row>
    <row r="13" spans="1:9">
      <c r="A13" s="15" t="s">
        <v>245</v>
      </c>
      <c r="B13" s="15" t="s">
        <v>245</v>
      </c>
      <c r="C13" s="15" t="s">
        <v>245</v>
      </c>
      <c r="D13" s="15" t="s">
        <v>245</v>
      </c>
      <c r="E13" s="15" t="s">
        <v>245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26</v>
      </c>
      <c r="C16" s="18" t="s">
        <v>249</v>
      </c>
      <c r="D16" s="18" t="s">
        <v>249</v>
      </c>
      <c r="E16" s="8">
        <v>26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285</v>
      </c>
      <c r="B20" s="18" t="s">
        <v>285</v>
      </c>
      <c r="C20" s="18" t="s">
        <v>285</v>
      </c>
      <c r="D20" s="8" t="s">
        <v>286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48.75">
      <c r="A24" s="8" t="s">
        <v>241</v>
      </c>
      <c r="B24" s="8" t="s">
        <v>271</v>
      </c>
      <c r="C24" s="8" t="s">
        <v>287</v>
      </c>
      <c r="D24" s="8" t="s">
        <v>4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5" xr:uid="{00000000-0004-0000-0600-000000000000}"/>
    <hyperlink ref="F2" location="'13.3.5E'!A1" display="26" xr:uid="{00000000-0004-0000-0600-000001000000}"/>
    <hyperlink ref="E10" location="'13.3.5E'!A1" display="'13.3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E3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35</v>
      </c>
      <c r="B1" s="20" t="s">
        <v>35</v>
      </c>
      <c r="C1" s="20" t="s">
        <v>35</v>
      </c>
      <c r="D1" s="20" t="s">
        <v>35</v>
      </c>
      <c r="E1" s="20" t="s">
        <v>35</v>
      </c>
    </row>
    <row r="2" spans="1:5">
      <c r="A2" s="20" t="s">
        <v>35</v>
      </c>
      <c r="B2" s="20" t="s">
        <v>35</v>
      </c>
      <c r="C2" s="20" t="s">
        <v>35</v>
      </c>
      <c r="D2" s="20" t="s">
        <v>35</v>
      </c>
      <c r="E2" s="20" t="s">
        <v>35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286</v>
      </c>
      <c r="D7" s="8" t="s">
        <v>446</v>
      </c>
      <c r="E7" s="8">
        <v>1</v>
      </c>
    </row>
    <row r="8" spans="1:5" ht="24.75">
      <c r="A8" s="8" t="s">
        <v>399</v>
      </c>
      <c r="B8" s="8" t="s">
        <v>253</v>
      </c>
      <c r="C8" s="8" t="s">
        <v>286</v>
      </c>
      <c r="D8" s="8" t="s">
        <v>447</v>
      </c>
      <c r="E8" s="8">
        <v>1</v>
      </c>
    </row>
    <row r="9" spans="1:5" ht="24.75">
      <c r="A9" s="8" t="s">
        <v>399</v>
      </c>
      <c r="B9" s="8" t="s">
        <v>253</v>
      </c>
      <c r="C9" s="8" t="s">
        <v>286</v>
      </c>
      <c r="D9" s="8" t="s">
        <v>448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286</v>
      </c>
      <c r="D10" s="8" t="s">
        <v>449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286</v>
      </c>
      <c r="D11" s="8" t="s">
        <v>450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286</v>
      </c>
      <c r="D12" s="8" t="s">
        <v>451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286</v>
      </c>
      <c r="D13" s="8" t="s">
        <v>452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286</v>
      </c>
      <c r="D14" s="8" t="s">
        <v>453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286</v>
      </c>
      <c r="D15" s="8" t="s">
        <v>454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286</v>
      </c>
      <c r="D16" s="8" t="s">
        <v>455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286</v>
      </c>
      <c r="D17" s="8" t="s">
        <v>456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286</v>
      </c>
      <c r="D18" s="8" t="s">
        <v>457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286</v>
      </c>
      <c r="D19" s="8" t="s">
        <v>458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286</v>
      </c>
      <c r="D20" s="8" t="s">
        <v>459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286</v>
      </c>
      <c r="D21" s="8" t="s">
        <v>460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286</v>
      </c>
      <c r="D22" s="8" t="s">
        <v>461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286</v>
      </c>
      <c r="D23" s="8" t="s">
        <v>462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286</v>
      </c>
      <c r="D24" s="8" t="s">
        <v>463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286</v>
      </c>
      <c r="D25" s="8" t="s">
        <v>464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286</v>
      </c>
      <c r="D26" s="8" t="s">
        <v>465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286</v>
      </c>
      <c r="D27" s="8" t="s">
        <v>466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286</v>
      </c>
      <c r="D28" s="8" t="s">
        <v>467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286</v>
      </c>
      <c r="D29" s="8" t="s">
        <v>468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286</v>
      </c>
      <c r="D30" s="8" t="s">
        <v>469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286</v>
      </c>
      <c r="D31" s="8" t="s">
        <v>470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286</v>
      </c>
      <c r="D32" s="8" t="s">
        <v>471</v>
      </c>
      <c r="E32" s="8">
        <v>1</v>
      </c>
    </row>
    <row r="33" spans="1:5">
      <c r="A33" s="1" t="s">
        <v>246</v>
      </c>
      <c r="B33" s="1" t="s">
        <v>246</v>
      </c>
      <c r="C33" s="1">
        <f>SUBTOTAL(103,Elements13_3_51[Elemento])</f>
        <v>26</v>
      </c>
      <c r="D33" s="1" t="s">
        <v>246</v>
      </c>
      <c r="E33" s="1">
        <f>SUBTOTAL(109,Elements13_3_51[Totais:])</f>
        <v>26</v>
      </c>
    </row>
  </sheetData>
  <mergeCells count="3">
    <mergeCell ref="A1:E2"/>
    <mergeCell ref="A4:E4"/>
    <mergeCell ref="A5:E5"/>
  </mergeCells>
  <hyperlinks>
    <hyperlink ref="A1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0000000}"/>
    <hyperlink ref="B1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1000000}"/>
    <hyperlink ref="C1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2000000}"/>
    <hyperlink ref="D1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3000000}"/>
    <hyperlink ref="E1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4000000}"/>
    <hyperlink ref="A2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5000000}"/>
    <hyperlink ref="B2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6000000}"/>
    <hyperlink ref="C2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7000000}"/>
    <hyperlink ref="D2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8000000}"/>
    <hyperlink ref="E2" location="'13.3.5'!A1" display="CAIXA DE INSPECAO/CAIXA PARA AGUAS PLUVIAIS,DE CONCRETO PRE- MOLDADO,CONSTANDO DE CIRCULO DE FUNDO,4 ANEIS SUPERPOSTOS DE 40MM DE ESPESSURA,600MM DE DIAMETRO INTERNO,SENDO 1 ANEL INF ERIOR(ENTRADA E SAIDA),DE 300MM+1 DE 300MM,1 DE 150MM E 1 DE 75MM DE ALT" xr:uid="{00000000-0004-0000-4500-000009000000}"/>
    <hyperlink ref="A4" location="'13.3.5'!A1" display="Peças hidrossanitárias (Ajuste altura furos)" xr:uid="{00000000-0004-0000-4500-00000A000000}"/>
    <hyperlink ref="B4" location="'13.3.5'!A1" display="Peças hidrossanitárias (Ajuste altura furos)" xr:uid="{00000000-0004-0000-4500-00000B000000}"/>
    <hyperlink ref="C4" location="'13.3.5'!A1" display="Peças hidrossanitárias (Ajuste altura furos)" xr:uid="{00000000-0004-0000-4500-00000C000000}"/>
    <hyperlink ref="D4" location="'13.3.5'!A1" display="Peças hidrossanitárias (Ajuste altura furos)" xr:uid="{00000000-0004-0000-4500-00000D000000}"/>
    <hyperlink ref="E4" location="'13.3.5'!A1" display="Peças hidrossanitárias (Ajuste altura furos)" xr:uid="{00000000-0004-0000-4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E2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39</v>
      </c>
      <c r="B1" s="20" t="s">
        <v>39</v>
      </c>
      <c r="C1" s="20" t="s">
        <v>39</v>
      </c>
      <c r="D1" s="20" t="s">
        <v>39</v>
      </c>
      <c r="E1" s="20" t="s">
        <v>39</v>
      </c>
    </row>
    <row r="2" spans="1:5">
      <c r="A2" s="20" t="s">
        <v>39</v>
      </c>
      <c r="B2" s="20" t="s">
        <v>39</v>
      </c>
      <c r="C2" s="20" t="s">
        <v>39</v>
      </c>
      <c r="D2" s="20" t="s">
        <v>39</v>
      </c>
      <c r="E2" s="20" t="s">
        <v>39</v>
      </c>
    </row>
    <row r="4" spans="1:5">
      <c r="A4" s="15" t="s">
        <v>289</v>
      </c>
      <c r="B4" s="15" t="s">
        <v>289</v>
      </c>
      <c r="C4" s="15" t="s">
        <v>289</v>
      </c>
      <c r="D4" s="15" t="s">
        <v>289</v>
      </c>
      <c r="E4" s="15" t="s">
        <v>289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291</v>
      </c>
      <c r="D7" s="8" t="s">
        <v>472</v>
      </c>
      <c r="E7" s="8">
        <v>1</v>
      </c>
    </row>
    <row r="8" spans="1:5" ht="24.75">
      <c r="A8" s="8" t="s">
        <v>399</v>
      </c>
      <c r="B8" s="8" t="s">
        <v>253</v>
      </c>
      <c r="C8" s="8" t="s">
        <v>291</v>
      </c>
      <c r="D8" s="8" t="s">
        <v>473</v>
      </c>
      <c r="E8" s="8">
        <v>1</v>
      </c>
    </row>
    <row r="9" spans="1:5" ht="24.75">
      <c r="A9" s="8" t="s">
        <v>399</v>
      </c>
      <c r="B9" s="8" t="s">
        <v>253</v>
      </c>
      <c r="C9" s="8" t="s">
        <v>291</v>
      </c>
      <c r="D9" s="8" t="s">
        <v>474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291</v>
      </c>
      <c r="D10" s="8" t="s">
        <v>475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291</v>
      </c>
      <c r="D11" s="8" t="s">
        <v>476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291</v>
      </c>
      <c r="D12" s="8" t="s">
        <v>477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291</v>
      </c>
      <c r="D13" s="8" t="s">
        <v>478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291</v>
      </c>
      <c r="D14" s="8" t="s">
        <v>479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291</v>
      </c>
      <c r="D15" s="8" t="s">
        <v>480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291</v>
      </c>
      <c r="D16" s="8" t="s">
        <v>481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291</v>
      </c>
      <c r="D17" s="8" t="s">
        <v>482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291</v>
      </c>
      <c r="D18" s="8" t="s">
        <v>483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291</v>
      </c>
      <c r="D19" s="8" t="s">
        <v>484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291</v>
      </c>
      <c r="D20" s="8" t="s">
        <v>485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291</v>
      </c>
      <c r="D21" s="8" t="s">
        <v>486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291</v>
      </c>
      <c r="D22" s="8" t="s">
        <v>487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291</v>
      </c>
      <c r="D23" s="8" t="s">
        <v>488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291</v>
      </c>
      <c r="D24" s="8" t="s">
        <v>489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291</v>
      </c>
      <c r="D25" s="8" t="s">
        <v>490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291</v>
      </c>
      <c r="D26" s="8" t="s">
        <v>491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291</v>
      </c>
      <c r="D27" s="8" t="s">
        <v>492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291</v>
      </c>
      <c r="D28" s="8" t="s">
        <v>493</v>
      </c>
      <c r="E28" s="8">
        <v>1</v>
      </c>
    </row>
    <row r="29" spans="1:5">
      <c r="A29" s="1" t="s">
        <v>246</v>
      </c>
      <c r="B29" s="1" t="s">
        <v>246</v>
      </c>
      <c r="C29" s="1">
        <f>SUBTOTAL(103,Elements13_3_61[Elemento])</f>
        <v>22</v>
      </c>
      <c r="D29" s="1" t="s">
        <v>246</v>
      </c>
      <c r="E29" s="1">
        <f>SUBTOTAL(109,Elements13_3_61[Totais:])</f>
        <v>22</v>
      </c>
    </row>
  </sheetData>
  <mergeCells count="3">
    <mergeCell ref="A1:E2"/>
    <mergeCell ref="A4:E4"/>
    <mergeCell ref="A5:E5"/>
  </mergeCells>
  <hyperlinks>
    <hyperlink ref="A1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0000000}"/>
    <hyperlink ref="B1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1000000}"/>
    <hyperlink ref="C1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2000000}"/>
    <hyperlink ref="D1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3000000}"/>
    <hyperlink ref="E1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4000000}"/>
    <hyperlink ref="A2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5000000}"/>
    <hyperlink ref="B2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6000000}"/>
    <hyperlink ref="C2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7000000}"/>
    <hyperlink ref="D2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8000000}"/>
    <hyperlink ref="E2" location="'13.3.6'!A1" display="CAIXA DE PASSAGEM EM ALVENARIA DE TIJOLO MACICO(7X10X20CM),E M PAREDES DE UMA VEZ(0,20M),DE 0,60X0,60X0,80M,UTILIZANDO AR GAMASSA DE CIMENTO E AREIA,NO TRACO 1:4 EM VOLUME,COM FUNDO EM CONCRETO SIMPLES PROVIDO DE CALHA INTERNA,SENDO AS PAREDE S REVESTIDAS" xr:uid="{00000000-0004-0000-4600-000009000000}"/>
    <hyperlink ref="A4" location="'13.3.6'!A1" display="Peças hidrossanitárias" xr:uid="{00000000-0004-0000-4600-00000A000000}"/>
    <hyperlink ref="B4" location="'13.3.6'!A1" display="Peças hidrossanitárias" xr:uid="{00000000-0004-0000-4600-00000B000000}"/>
    <hyperlink ref="C4" location="'13.3.6'!A1" display="Peças hidrossanitárias" xr:uid="{00000000-0004-0000-4600-00000C000000}"/>
    <hyperlink ref="D4" location="'13.3.6'!A1" display="Peças hidrossanitárias" xr:uid="{00000000-0004-0000-4600-00000D000000}"/>
    <hyperlink ref="E4" location="'13.3.6'!A1" display="Peças hidrossanitárias" xr:uid="{00000000-0004-0000-4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E17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43</v>
      </c>
      <c r="B1" s="20" t="s">
        <v>43</v>
      </c>
      <c r="C1" s="20" t="s">
        <v>43</v>
      </c>
      <c r="D1" s="20" t="s">
        <v>43</v>
      </c>
      <c r="E1" s="20" t="s">
        <v>43</v>
      </c>
    </row>
    <row r="2" spans="1:5">
      <c r="A2" s="20" t="s">
        <v>43</v>
      </c>
      <c r="B2" s="20" t="s">
        <v>43</v>
      </c>
      <c r="C2" s="20" t="s">
        <v>43</v>
      </c>
      <c r="D2" s="20" t="s">
        <v>43</v>
      </c>
      <c r="E2" s="20" t="s">
        <v>43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295</v>
      </c>
      <c r="D7" s="8" t="s">
        <v>494</v>
      </c>
      <c r="E7" s="8">
        <v>0.26370000000000215</v>
      </c>
    </row>
    <row r="8" spans="1:5" ht="24.75">
      <c r="A8" s="8" t="s">
        <v>399</v>
      </c>
      <c r="B8" s="8" t="s">
        <v>253</v>
      </c>
      <c r="C8" s="8" t="s">
        <v>295</v>
      </c>
      <c r="D8" s="8" t="s">
        <v>495</v>
      </c>
      <c r="E8" s="8">
        <v>1.8573069003099383</v>
      </c>
    </row>
    <row r="9" spans="1:5" ht="24.75">
      <c r="A9" s="8" t="s">
        <v>399</v>
      </c>
      <c r="B9" s="8" t="s">
        <v>253</v>
      </c>
      <c r="C9" s="8" t="s">
        <v>295</v>
      </c>
      <c r="D9" s="8" t="s">
        <v>496</v>
      </c>
      <c r="E9" s="8">
        <v>1.8598069003099389</v>
      </c>
    </row>
    <row r="10" spans="1:5" ht="24.75">
      <c r="A10" s="8" t="s">
        <v>399</v>
      </c>
      <c r="B10" s="8" t="s">
        <v>253</v>
      </c>
      <c r="C10" s="8" t="s">
        <v>295</v>
      </c>
      <c r="D10" s="8" t="s">
        <v>497</v>
      </c>
      <c r="E10" s="8">
        <v>4.7429799020191836E-2</v>
      </c>
    </row>
    <row r="11" spans="1:5" ht="24.75">
      <c r="A11" s="8" t="s">
        <v>399</v>
      </c>
      <c r="B11" s="8" t="s">
        <v>253</v>
      </c>
      <c r="C11" s="8" t="s">
        <v>295</v>
      </c>
      <c r="D11" s="8" t="s">
        <v>498</v>
      </c>
      <c r="E11" s="8">
        <v>0.51030690840972859</v>
      </c>
    </row>
    <row r="12" spans="1:5" ht="24.75">
      <c r="A12" s="8" t="s">
        <v>399</v>
      </c>
      <c r="B12" s="8" t="s">
        <v>253</v>
      </c>
      <c r="C12" s="8" t="s">
        <v>295</v>
      </c>
      <c r="D12" s="8" t="s">
        <v>499</v>
      </c>
      <c r="E12" s="8">
        <v>4.2424796972091214E-2</v>
      </c>
    </row>
    <row r="13" spans="1:5" ht="24.75">
      <c r="A13" s="8" t="s">
        <v>399</v>
      </c>
      <c r="B13" s="8" t="s">
        <v>253</v>
      </c>
      <c r="C13" s="8" t="s">
        <v>295</v>
      </c>
      <c r="D13" s="8" t="s">
        <v>500</v>
      </c>
      <c r="E13" s="8">
        <v>0.50880690847990317</v>
      </c>
    </row>
    <row r="14" spans="1:5" ht="24.75">
      <c r="A14" s="8" t="s">
        <v>399</v>
      </c>
      <c r="B14" s="8" t="s">
        <v>253</v>
      </c>
      <c r="C14" s="8" t="s">
        <v>295</v>
      </c>
      <c r="D14" s="8" t="s">
        <v>501</v>
      </c>
      <c r="E14" s="8">
        <v>3.5530099999999987</v>
      </c>
    </row>
    <row r="15" spans="1:5" ht="24.75">
      <c r="A15" s="8" t="s">
        <v>399</v>
      </c>
      <c r="B15" s="8" t="s">
        <v>253</v>
      </c>
      <c r="C15" s="8" t="s">
        <v>295</v>
      </c>
      <c r="D15" s="8" t="s">
        <v>502</v>
      </c>
      <c r="E15" s="8">
        <v>0.20705446725552507</v>
      </c>
    </row>
    <row r="16" spans="1:5" ht="24.75">
      <c r="A16" s="8" t="s">
        <v>399</v>
      </c>
      <c r="B16" s="8" t="s">
        <v>253</v>
      </c>
      <c r="C16" s="8" t="s">
        <v>295</v>
      </c>
      <c r="D16" s="8" t="s">
        <v>503</v>
      </c>
      <c r="E16" s="8">
        <v>2.292356523797233</v>
      </c>
    </row>
    <row r="17" spans="1:5" ht="24.75">
      <c r="A17" s="8" t="s">
        <v>399</v>
      </c>
      <c r="B17" s="8" t="s">
        <v>253</v>
      </c>
      <c r="C17" s="8" t="s">
        <v>295</v>
      </c>
      <c r="D17" s="8" t="s">
        <v>504</v>
      </c>
      <c r="E17" s="8">
        <v>5.4635547940510998</v>
      </c>
    </row>
    <row r="18" spans="1:5" ht="24.75">
      <c r="A18" s="8" t="s">
        <v>399</v>
      </c>
      <c r="B18" s="8" t="s">
        <v>253</v>
      </c>
      <c r="C18" s="8" t="s">
        <v>295</v>
      </c>
      <c r="D18" s="8" t="s">
        <v>505</v>
      </c>
      <c r="E18" s="8">
        <v>7.7576100000000077</v>
      </c>
    </row>
    <row r="19" spans="1:5" ht="24.75">
      <c r="A19" s="8" t="s">
        <v>399</v>
      </c>
      <c r="B19" s="8" t="s">
        <v>253</v>
      </c>
      <c r="C19" s="8" t="s">
        <v>295</v>
      </c>
      <c r="D19" s="8" t="s">
        <v>506</v>
      </c>
      <c r="E19" s="8">
        <v>1.8573069003099383</v>
      </c>
    </row>
    <row r="20" spans="1:5" ht="24.75">
      <c r="A20" s="8" t="s">
        <v>399</v>
      </c>
      <c r="B20" s="8" t="s">
        <v>253</v>
      </c>
      <c r="C20" s="8" t="s">
        <v>295</v>
      </c>
      <c r="D20" s="8" t="s">
        <v>507</v>
      </c>
      <c r="E20" s="8">
        <v>1.8598069003099389</v>
      </c>
    </row>
    <row r="21" spans="1:5" ht="24.75">
      <c r="A21" s="8" t="s">
        <v>399</v>
      </c>
      <c r="B21" s="8" t="s">
        <v>253</v>
      </c>
      <c r="C21" s="8" t="s">
        <v>295</v>
      </c>
      <c r="D21" s="8" t="s">
        <v>508</v>
      </c>
      <c r="E21" s="8">
        <v>4.7429799020191836E-2</v>
      </c>
    </row>
    <row r="22" spans="1:5" ht="24.75">
      <c r="A22" s="8" t="s">
        <v>399</v>
      </c>
      <c r="B22" s="8" t="s">
        <v>253</v>
      </c>
      <c r="C22" s="8" t="s">
        <v>295</v>
      </c>
      <c r="D22" s="8" t="s">
        <v>509</v>
      </c>
      <c r="E22" s="8">
        <v>0.51030690840972859</v>
      </c>
    </row>
    <row r="23" spans="1:5" ht="24.75">
      <c r="A23" s="8" t="s">
        <v>399</v>
      </c>
      <c r="B23" s="8" t="s">
        <v>253</v>
      </c>
      <c r="C23" s="8" t="s">
        <v>295</v>
      </c>
      <c r="D23" s="8" t="s">
        <v>510</v>
      </c>
      <c r="E23" s="8">
        <v>4.2424796972091214E-2</v>
      </c>
    </row>
    <row r="24" spans="1:5" ht="24.75">
      <c r="A24" s="8" t="s">
        <v>399</v>
      </c>
      <c r="B24" s="8" t="s">
        <v>253</v>
      </c>
      <c r="C24" s="8" t="s">
        <v>295</v>
      </c>
      <c r="D24" s="8" t="s">
        <v>511</v>
      </c>
      <c r="E24" s="8">
        <v>0.50880690847990317</v>
      </c>
    </row>
    <row r="25" spans="1:5" ht="24.75">
      <c r="A25" s="8" t="s">
        <v>399</v>
      </c>
      <c r="B25" s="8" t="s">
        <v>253</v>
      </c>
      <c r="C25" s="8" t="s">
        <v>295</v>
      </c>
      <c r="D25" s="8" t="s">
        <v>512</v>
      </c>
      <c r="E25" s="8">
        <v>0.51300999999999597</v>
      </c>
    </row>
    <row r="26" spans="1:5" ht="24.75">
      <c r="A26" s="8" t="s">
        <v>399</v>
      </c>
      <c r="B26" s="8" t="s">
        <v>253</v>
      </c>
      <c r="C26" s="8" t="s">
        <v>295</v>
      </c>
      <c r="D26" s="8" t="s">
        <v>513</v>
      </c>
      <c r="E26" s="8">
        <v>0.20705446725552507</v>
      </c>
    </row>
    <row r="27" spans="1:5" ht="24.75">
      <c r="A27" s="8" t="s">
        <v>399</v>
      </c>
      <c r="B27" s="8" t="s">
        <v>253</v>
      </c>
      <c r="C27" s="8" t="s">
        <v>295</v>
      </c>
      <c r="D27" s="8" t="s">
        <v>514</v>
      </c>
      <c r="E27" s="8">
        <v>2.2923565237972152</v>
      </c>
    </row>
    <row r="28" spans="1:5" ht="24.75">
      <c r="A28" s="8" t="s">
        <v>399</v>
      </c>
      <c r="B28" s="8" t="s">
        <v>253</v>
      </c>
      <c r="C28" s="8" t="s">
        <v>295</v>
      </c>
      <c r="D28" s="8" t="s">
        <v>515</v>
      </c>
      <c r="E28" s="8">
        <v>2.4698873724095924</v>
      </c>
    </row>
    <row r="29" spans="1:5" ht="24.75">
      <c r="A29" s="8" t="s">
        <v>399</v>
      </c>
      <c r="B29" s="8" t="s">
        <v>253</v>
      </c>
      <c r="C29" s="8" t="s">
        <v>295</v>
      </c>
      <c r="D29" s="8" t="s">
        <v>516</v>
      </c>
      <c r="E29" s="8">
        <v>1.8577569003099388</v>
      </c>
    </row>
    <row r="30" spans="1:5" ht="24.75">
      <c r="A30" s="8" t="s">
        <v>399</v>
      </c>
      <c r="B30" s="8" t="s">
        <v>253</v>
      </c>
      <c r="C30" s="8" t="s">
        <v>295</v>
      </c>
      <c r="D30" s="8" t="s">
        <v>517</v>
      </c>
      <c r="E30" s="8">
        <v>1.8593569003099391</v>
      </c>
    </row>
    <row r="31" spans="1:5" ht="24.75">
      <c r="A31" s="8" t="s">
        <v>399</v>
      </c>
      <c r="B31" s="8" t="s">
        <v>253</v>
      </c>
      <c r="C31" s="8" t="s">
        <v>295</v>
      </c>
      <c r="D31" s="8" t="s">
        <v>518</v>
      </c>
      <c r="E31" s="8">
        <v>3.9922300369795792E-2</v>
      </c>
    </row>
    <row r="32" spans="1:5" ht="24.75">
      <c r="A32" s="8" t="s">
        <v>399</v>
      </c>
      <c r="B32" s="8" t="s">
        <v>253</v>
      </c>
      <c r="C32" s="8" t="s">
        <v>295</v>
      </c>
      <c r="D32" s="8" t="s">
        <v>519</v>
      </c>
      <c r="E32" s="8">
        <v>0.61530690030993807</v>
      </c>
    </row>
    <row r="33" spans="1:5" ht="24.75">
      <c r="A33" s="8" t="s">
        <v>399</v>
      </c>
      <c r="B33" s="8" t="s">
        <v>253</v>
      </c>
      <c r="C33" s="8" t="s">
        <v>295</v>
      </c>
      <c r="D33" s="8" t="s">
        <v>520</v>
      </c>
      <c r="E33" s="8">
        <v>3.9928292537497724E-2</v>
      </c>
    </row>
    <row r="34" spans="1:5" ht="24.75">
      <c r="A34" s="8" t="s">
        <v>399</v>
      </c>
      <c r="B34" s="8" t="s">
        <v>253</v>
      </c>
      <c r="C34" s="8" t="s">
        <v>295</v>
      </c>
      <c r="D34" s="8" t="s">
        <v>521</v>
      </c>
      <c r="E34" s="8">
        <v>0.6118069004519241</v>
      </c>
    </row>
    <row r="35" spans="1:5" ht="24.75">
      <c r="A35" s="8" t="s">
        <v>399</v>
      </c>
      <c r="B35" s="8" t="s">
        <v>253</v>
      </c>
      <c r="C35" s="8" t="s">
        <v>295</v>
      </c>
      <c r="D35" s="8" t="s">
        <v>522</v>
      </c>
      <c r="E35" s="8">
        <v>0.53800999999999377</v>
      </c>
    </row>
    <row r="36" spans="1:5" ht="24.75">
      <c r="A36" s="8" t="s">
        <v>399</v>
      </c>
      <c r="B36" s="8" t="s">
        <v>253</v>
      </c>
      <c r="C36" s="8" t="s">
        <v>295</v>
      </c>
      <c r="D36" s="8" t="s">
        <v>523</v>
      </c>
      <c r="E36" s="8">
        <v>0.1970544672555293</v>
      </c>
    </row>
    <row r="37" spans="1:5" ht="24.75">
      <c r="A37" s="8" t="s">
        <v>399</v>
      </c>
      <c r="B37" s="8" t="s">
        <v>253</v>
      </c>
      <c r="C37" s="8" t="s">
        <v>295</v>
      </c>
      <c r="D37" s="8" t="s">
        <v>524</v>
      </c>
      <c r="E37" s="8">
        <v>3.0060199999999995</v>
      </c>
    </row>
    <row r="38" spans="1:5" ht="24.75">
      <c r="A38" s="8" t="s">
        <v>399</v>
      </c>
      <c r="B38" s="8" t="s">
        <v>253</v>
      </c>
      <c r="C38" s="8" t="s">
        <v>295</v>
      </c>
      <c r="D38" s="8" t="s">
        <v>525</v>
      </c>
      <c r="E38" s="8">
        <v>2.7885345958564125</v>
      </c>
    </row>
    <row r="39" spans="1:5" ht="24.75">
      <c r="A39" s="8" t="s">
        <v>399</v>
      </c>
      <c r="B39" s="8" t="s">
        <v>253</v>
      </c>
      <c r="C39" s="8" t="s">
        <v>295</v>
      </c>
      <c r="D39" s="8" t="s">
        <v>526</v>
      </c>
      <c r="E39" s="8">
        <v>2.8985749999999988</v>
      </c>
    </row>
    <row r="40" spans="1:5" ht="24.75">
      <c r="A40" s="8" t="s">
        <v>399</v>
      </c>
      <c r="B40" s="8" t="s">
        <v>253</v>
      </c>
      <c r="C40" s="8" t="s">
        <v>295</v>
      </c>
      <c r="D40" s="8" t="s">
        <v>527</v>
      </c>
      <c r="E40" s="8">
        <v>1.8577069003099389</v>
      </c>
    </row>
    <row r="41" spans="1:5" ht="24.75">
      <c r="A41" s="8" t="s">
        <v>399</v>
      </c>
      <c r="B41" s="8" t="s">
        <v>253</v>
      </c>
      <c r="C41" s="8" t="s">
        <v>295</v>
      </c>
      <c r="D41" s="8" t="s">
        <v>528</v>
      </c>
      <c r="E41" s="8">
        <v>1.8597567403911059</v>
      </c>
    </row>
    <row r="42" spans="1:5" ht="24.75">
      <c r="A42" s="8" t="s">
        <v>399</v>
      </c>
      <c r="B42" s="8" t="s">
        <v>253</v>
      </c>
      <c r="C42" s="8" t="s">
        <v>295</v>
      </c>
      <c r="D42" s="8" t="s">
        <v>529</v>
      </c>
      <c r="E42" s="8">
        <v>4.1173057831712094E-2</v>
      </c>
    </row>
    <row r="43" spans="1:5" ht="24.75">
      <c r="A43" s="8" t="s">
        <v>399</v>
      </c>
      <c r="B43" s="8" t="s">
        <v>253</v>
      </c>
      <c r="C43" s="8" t="s">
        <v>295</v>
      </c>
      <c r="D43" s="8" t="s">
        <v>530</v>
      </c>
      <c r="E43" s="8">
        <v>0.56173178747603658</v>
      </c>
    </row>
    <row r="44" spans="1:5" ht="24.75">
      <c r="A44" s="8" t="s">
        <v>399</v>
      </c>
      <c r="B44" s="8" t="s">
        <v>253</v>
      </c>
      <c r="C44" s="8" t="s">
        <v>295</v>
      </c>
      <c r="D44" s="8" t="s">
        <v>531</v>
      </c>
      <c r="E44" s="8">
        <v>3.9938294222931381E-2</v>
      </c>
    </row>
    <row r="45" spans="1:5" ht="24.75">
      <c r="A45" s="8" t="s">
        <v>399</v>
      </c>
      <c r="B45" s="8" t="s">
        <v>253</v>
      </c>
      <c r="C45" s="8" t="s">
        <v>295</v>
      </c>
      <c r="D45" s="8" t="s">
        <v>532</v>
      </c>
      <c r="E45" s="8">
        <v>0.5572318575425167</v>
      </c>
    </row>
    <row r="46" spans="1:5" ht="24.75">
      <c r="A46" s="8" t="s">
        <v>399</v>
      </c>
      <c r="B46" s="8" t="s">
        <v>253</v>
      </c>
      <c r="C46" s="8" t="s">
        <v>295</v>
      </c>
      <c r="D46" s="8" t="s">
        <v>533</v>
      </c>
      <c r="E46" s="8">
        <v>0.19710445988841341</v>
      </c>
    </row>
    <row r="47" spans="1:5" ht="24.75">
      <c r="A47" s="8" t="s">
        <v>399</v>
      </c>
      <c r="B47" s="8" t="s">
        <v>253</v>
      </c>
      <c r="C47" s="8" t="s">
        <v>295</v>
      </c>
      <c r="D47" s="8" t="s">
        <v>534</v>
      </c>
      <c r="E47" s="8">
        <v>0.53676000000000612</v>
      </c>
    </row>
    <row r="48" spans="1:5" ht="24.75">
      <c r="A48" s="8" t="s">
        <v>399</v>
      </c>
      <c r="B48" s="8" t="s">
        <v>253</v>
      </c>
      <c r="C48" s="8" t="s">
        <v>295</v>
      </c>
      <c r="D48" s="8" t="s">
        <v>535</v>
      </c>
      <c r="E48" s="8">
        <v>3.0585099999999628</v>
      </c>
    </row>
    <row r="49" spans="1:5" ht="24.75">
      <c r="A49" s="8" t="s">
        <v>399</v>
      </c>
      <c r="B49" s="8" t="s">
        <v>253</v>
      </c>
      <c r="C49" s="8" t="s">
        <v>295</v>
      </c>
      <c r="D49" s="8" t="s">
        <v>536</v>
      </c>
      <c r="E49" s="8">
        <v>3.9584825882420969</v>
      </c>
    </row>
    <row r="50" spans="1:5" ht="24.75">
      <c r="A50" s="8" t="s">
        <v>399</v>
      </c>
      <c r="B50" s="8" t="s">
        <v>253</v>
      </c>
      <c r="C50" s="8" t="s">
        <v>295</v>
      </c>
      <c r="D50" s="8" t="s">
        <v>537</v>
      </c>
      <c r="E50" s="8">
        <v>3.0146000000000002</v>
      </c>
    </row>
    <row r="51" spans="1:5" ht="24.75">
      <c r="A51" s="8" t="s">
        <v>399</v>
      </c>
      <c r="B51" s="8" t="s">
        <v>253</v>
      </c>
      <c r="C51" s="8" t="s">
        <v>295</v>
      </c>
      <c r="D51" s="8" t="s">
        <v>538</v>
      </c>
      <c r="E51" s="8">
        <v>1.859756673084441</v>
      </c>
    </row>
    <row r="52" spans="1:5" ht="24.75">
      <c r="A52" s="8" t="s">
        <v>399</v>
      </c>
      <c r="B52" s="8" t="s">
        <v>253</v>
      </c>
      <c r="C52" s="8" t="s">
        <v>295</v>
      </c>
      <c r="D52" s="8" t="s">
        <v>539</v>
      </c>
      <c r="E52" s="8">
        <v>3.9933664166962049E-2</v>
      </c>
    </row>
    <row r="53" spans="1:5" ht="24.75">
      <c r="A53" s="8" t="s">
        <v>399</v>
      </c>
      <c r="B53" s="8" t="s">
        <v>253</v>
      </c>
      <c r="C53" s="8" t="s">
        <v>295</v>
      </c>
      <c r="D53" s="8" t="s">
        <v>540</v>
      </c>
      <c r="E53" s="8">
        <v>0.5585319074230517</v>
      </c>
    </row>
    <row r="54" spans="1:5" ht="24.75">
      <c r="A54" s="8" t="s">
        <v>399</v>
      </c>
      <c r="B54" s="8" t="s">
        <v>253</v>
      </c>
      <c r="C54" s="8" t="s">
        <v>295</v>
      </c>
      <c r="D54" s="8" t="s">
        <v>541</v>
      </c>
      <c r="E54" s="8">
        <v>0.79929626002459508</v>
      </c>
    </row>
    <row r="55" spans="1:5" ht="24.75">
      <c r="A55" s="8" t="s">
        <v>399</v>
      </c>
      <c r="B55" s="8" t="s">
        <v>253</v>
      </c>
      <c r="C55" s="8" t="s">
        <v>295</v>
      </c>
      <c r="D55" s="8" t="s">
        <v>542</v>
      </c>
      <c r="E55" s="8">
        <v>1.859756740373913</v>
      </c>
    </row>
    <row r="56" spans="1:5" ht="24.75">
      <c r="A56" s="8" t="s">
        <v>399</v>
      </c>
      <c r="B56" s="8" t="s">
        <v>253</v>
      </c>
      <c r="C56" s="8" t="s">
        <v>295</v>
      </c>
      <c r="D56" s="8" t="s">
        <v>543</v>
      </c>
      <c r="E56" s="8">
        <v>3.9930299020523474E-2</v>
      </c>
    </row>
    <row r="57" spans="1:5" ht="24.75">
      <c r="A57" s="8" t="s">
        <v>399</v>
      </c>
      <c r="B57" s="8" t="s">
        <v>253</v>
      </c>
      <c r="C57" s="8" t="s">
        <v>295</v>
      </c>
      <c r="D57" s="8" t="s">
        <v>544</v>
      </c>
      <c r="E57" s="8">
        <v>0.55733179323043169</v>
      </c>
    </row>
    <row r="58" spans="1:5" ht="24.75">
      <c r="A58" s="8" t="s">
        <v>399</v>
      </c>
      <c r="B58" s="8" t="s">
        <v>253</v>
      </c>
      <c r="C58" s="8" t="s">
        <v>295</v>
      </c>
      <c r="D58" s="8" t="s">
        <v>545</v>
      </c>
      <c r="E58" s="8">
        <v>1.3642519594475693</v>
      </c>
    </row>
    <row r="59" spans="1:5" ht="24.75">
      <c r="A59" s="8" t="s">
        <v>399</v>
      </c>
      <c r="B59" s="8" t="s">
        <v>253</v>
      </c>
      <c r="C59" s="8" t="s">
        <v>295</v>
      </c>
      <c r="D59" s="8" t="s">
        <v>546</v>
      </c>
      <c r="E59" s="8">
        <v>1.0643786433424953</v>
      </c>
    </row>
    <row r="60" spans="1:5" ht="24.75">
      <c r="A60" s="8" t="s">
        <v>399</v>
      </c>
      <c r="B60" s="8" t="s">
        <v>253</v>
      </c>
      <c r="C60" s="8" t="s">
        <v>295</v>
      </c>
      <c r="D60" s="8" t="s">
        <v>547</v>
      </c>
      <c r="E60" s="8">
        <v>4.5132259132148205</v>
      </c>
    </row>
    <row r="61" spans="1:5" ht="24.75">
      <c r="A61" s="8" t="s">
        <v>399</v>
      </c>
      <c r="B61" s="8" t="s">
        <v>253</v>
      </c>
      <c r="C61" s="8" t="s">
        <v>295</v>
      </c>
      <c r="D61" s="8" t="s">
        <v>548</v>
      </c>
      <c r="E61" s="8">
        <v>0.18966737944381529</v>
      </c>
    </row>
    <row r="62" spans="1:5" ht="24.75">
      <c r="A62" s="8" t="s">
        <v>399</v>
      </c>
      <c r="B62" s="8" t="s">
        <v>253</v>
      </c>
      <c r="C62" s="8" t="s">
        <v>295</v>
      </c>
      <c r="D62" s="8" t="s">
        <v>549</v>
      </c>
      <c r="E62" s="8">
        <v>5.6174050595022486E-2</v>
      </c>
    </row>
    <row r="63" spans="1:5" ht="24.75">
      <c r="A63" s="8" t="s">
        <v>399</v>
      </c>
      <c r="B63" s="8" t="s">
        <v>253</v>
      </c>
      <c r="C63" s="8" t="s">
        <v>295</v>
      </c>
      <c r="D63" s="8" t="s">
        <v>550</v>
      </c>
      <c r="E63" s="8">
        <v>0.57585718166462263</v>
      </c>
    </row>
    <row r="64" spans="1:5" ht="24.75">
      <c r="A64" s="8" t="s">
        <v>399</v>
      </c>
      <c r="B64" s="8" t="s">
        <v>253</v>
      </c>
      <c r="C64" s="8" t="s">
        <v>295</v>
      </c>
      <c r="D64" s="8" t="s">
        <v>551</v>
      </c>
      <c r="E64" s="8">
        <v>1.8599067403739133</v>
      </c>
    </row>
    <row r="65" spans="1:5" ht="24.75">
      <c r="A65" s="8" t="s">
        <v>399</v>
      </c>
      <c r="B65" s="8" t="s">
        <v>253</v>
      </c>
      <c r="C65" s="8" t="s">
        <v>295</v>
      </c>
      <c r="D65" s="8" t="s">
        <v>552</v>
      </c>
      <c r="E65" s="8">
        <v>5.5861613425774878E-2</v>
      </c>
    </row>
    <row r="66" spans="1:5" ht="24.75">
      <c r="A66" s="8" t="s">
        <v>399</v>
      </c>
      <c r="B66" s="8" t="s">
        <v>253</v>
      </c>
      <c r="C66" s="8" t="s">
        <v>295</v>
      </c>
      <c r="D66" s="8" t="s">
        <v>553</v>
      </c>
      <c r="E66" s="8">
        <v>0.57795729721413103</v>
      </c>
    </row>
    <row r="67" spans="1:5" ht="24.75">
      <c r="A67" s="8" t="s">
        <v>399</v>
      </c>
      <c r="B67" s="8" t="s">
        <v>253</v>
      </c>
      <c r="C67" s="8" t="s">
        <v>295</v>
      </c>
      <c r="D67" s="8" t="s">
        <v>554</v>
      </c>
      <c r="E67" s="8">
        <v>0.57032885352231222</v>
      </c>
    </row>
    <row r="68" spans="1:5" ht="24.75">
      <c r="A68" s="8" t="s">
        <v>399</v>
      </c>
      <c r="B68" s="8" t="s">
        <v>253</v>
      </c>
      <c r="C68" s="8" t="s">
        <v>295</v>
      </c>
      <c r="D68" s="8" t="s">
        <v>555</v>
      </c>
      <c r="E68" s="8">
        <v>5.9578114789371126</v>
      </c>
    </row>
    <row r="69" spans="1:5" ht="24.75">
      <c r="A69" s="8" t="s">
        <v>399</v>
      </c>
      <c r="B69" s="8" t="s">
        <v>253</v>
      </c>
      <c r="C69" s="8" t="s">
        <v>295</v>
      </c>
      <c r="D69" s="8" t="s">
        <v>556</v>
      </c>
      <c r="E69" s="8">
        <v>3.6476100000000002</v>
      </c>
    </row>
    <row r="70" spans="1:5" ht="24.75">
      <c r="A70" s="8" t="s">
        <v>399</v>
      </c>
      <c r="B70" s="8" t="s">
        <v>253</v>
      </c>
      <c r="C70" s="8" t="s">
        <v>295</v>
      </c>
      <c r="D70" s="8" t="s">
        <v>557</v>
      </c>
      <c r="E70" s="8">
        <v>0.18966171405716856</v>
      </c>
    </row>
    <row r="71" spans="1:5" ht="24.75">
      <c r="A71" s="8" t="s">
        <v>399</v>
      </c>
      <c r="B71" s="8" t="s">
        <v>253</v>
      </c>
      <c r="C71" s="8" t="s">
        <v>295</v>
      </c>
      <c r="D71" s="8" t="s">
        <v>558</v>
      </c>
      <c r="E71" s="8">
        <v>1.8599067403739131</v>
      </c>
    </row>
    <row r="72" spans="1:5" ht="24.75">
      <c r="A72" s="8" t="s">
        <v>399</v>
      </c>
      <c r="B72" s="8" t="s">
        <v>253</v>
      </c>
      <c r="C72" s="8" t="s">
        <v>295</v>
      </c>
      <c r="D72" s="8" t="s">
        <v>559</v>
      </c>
      <c r="E72" s="8">
        <v>3.8677549545368742E-2</v>
      </c>
    </row>
    <row r="73" spans="1:5" ht="24.75">
      <c r="A73" s="8" t="s">
        <v>399</v>
      </c>
      <c r="B73" s="8" t="s">
        <v>253</v>
      </c>
      <c r="C73" s="8" t="s">
        <v>295</v>
      </c>
      <c r="D73" s="8" t="s">
        <v>560</v>
      </c>
      <c r="E73" s="8">
        <v>0.57605708498647668</v>
      </c>
    </row>
    <row r="74" spans="1:5" ht="24.75">
      <c r="A74" s="8" t="s">
        <v>399</v>
      </c>
      <c r="B74" s="8" t="s">
        <v>253</v>
      </c>
      <c r="C74" s="8" t="s">
        <v>295</v>
      </c>
      <c r="D74" s="8" t="s">
        <v>561</v>
      </c>
      <c r="E74" s="8">
        <v>1.8599067403739131</v>
      </c>
    </row>
    <row r="75" spans="1:5" ht="24.75">
      <c r="A75" s="8" t="s">
        <v>399</v>
      </c>
      <c r="B75" s="8" t="s">
        <v>253</v>
      </c>
      <c r="C75" s="8" t="s">
        <v>295</v>
      </c>
      <c r="D75" s="8" t="s">
        <v>562</v>
      </c>
      <c r="E75" s="8">
        <v>3.8677549545368728E-2</v>
      </c>
    </row>
    <row r="76" spans="1:5" ht="24.75">
      <c r="A76" s="8" t="s">
        <v>399</v>
      </c>
      <c r="B76" s="8" t="s">
        <v>253</v>
      </c>
      <c r="C76" s="8" t="s">
        <v>295</v>
      </c>
      <c r="D76" s="8" t="s">
        <v>563</v>
      </c>
      <c r="E76" s="8">
        <v>0.57565721720493279</v>
      </c>
    </row>
    <row r="77" spans="1:5" ht="24.75">
      <c r="A77" s="8" t="s">
        <v>399</v>
      </c>
      <c r="B77" s="8" t="s">
        <v>253</v>
      </c>
      <c r="C77" s="8" t="s">
        <v>295</v>
      </c>
      <c r="D77" s="8" t="s">
        <v>564</v>
      </c>
      <c r="E77" s="8">
        <v>0.56823178064340529</v>
      </c>
    </row>
    <row r="78" spans="1:5" ht="24.75">
      <c r="A78" s="8" t="s">
        <v>399</v>
      </c>
      <c r="B78" s="8" t="s">
        <v>253</v>
      </c>
      <c r="C78" s="8" t="s">
        <v>295</v>
      </c>
      <c r="D78" s="8" t="s">
        <v>565</v>
      </c>
      <c r="E78" s="8">
        <v>4.8749978119664696</v>
      </c>
    </row>
    <row r="79" spans="1:5" ht="24.75">
      <c r="A79" s="8" t="s">
        <v>399</v>
      </c>
      <c r="B79" s="8" t="s">
        <v>253</v>
      </c>
      <c r="C79" s="8" t="s">
        <v>295</v>
      </c>
      <c r="D79" s="8" t="s">
        <v>566</v>
      </c>
      <c r="E79" s="8">
        <v>0.18966737944381637</v>
      </c>
    </row>
    <row r="80" spans="1:5" ht="24.75">
      <c r="A80" s="8" t="s">
        <v>399</v>
      </c>
      <c r="B80" s="8" t="s">
        <v>253</v>
      </c>
      <c r="C80" s="8" t="s">
        <v>295</v>
      </c>
      <c r="D80" s="8" t="s">
        <v>567</v>
      </c>
      <c r="E80" s="8">
        <v>1.8599023504607179</v>
      </c>
    </row>
    <row r="81" spans="1:5" ht="24.75">
      <c r="A81" s="8" t="s">
        <v>399</v>
      </c>
      <c r="B81" s="8" t="s">
        <v>253</v>
      </c>
      <c r="C81" s="8" t="s">
        <v>295</v>
      </c>
      <c r="D81" s="8" t="s">
        <v>568</v>
      </c>
      <c r="E81" s="8">
        <v>3.867754954536811E-2</v>
      </c>
    </row>
    <row r="82" spans="1:5" ht="24.75">
      <c r="A82" s="8" t="s">
        <v>399</v>
      </c>
      <c r="B82" s="8" t="s">
        <v>253</v>
      </c>
      <c r="C82" s="8" t="s">
        <v>295</v>
      </c>
      <c r="D82" s="8" t="s">
        <v>569</v>
      </c>
      <c r="E82" s="8">
        <v>0.73183202279222104</v>
      </c>
    </row>
    <row r="83" spans="1:5" ht="24.75">
      <c r="A83" s="8" t="s">
        <v>399</v>
      </c>
      <c r="B83" s="8" t="s">
        <v>253</v>
      </c>
      <c r="C83" s="8" t="s">
        <v>295</v>
      </c>
      <c r="D83" s="8" t="s">
        <v>570</v>
      </c>
      <c r="E83" s="8">
        <v>1.8599023504607179</v>
      </c>
    </row>
    <row r="84" spans="1:5" ht="24.75">
      <c r="A84" s="8" t="s">
        <v>399</v>
      </c>
      <c r="B84" s="8" t="s">
        <v>253</v>
      </c>
      <c r="C84" s="8" t="s">
        <v>295</v>
      </c>
      <c r="D84" s="8" t="s">
        <v>571</v>
      </c>
      <c r="E84" s="8">
        <v>3.867754954536811E-2</v>
      </c>
    </row>
    <row r="85" spans="1:5" ht="24.75">
      <c r="A85" s="8" t="s">
        <v>399</v>
      </c>
      <c r="B85" s="8" t="s">
        <v>253</v>
      </c>
      <c r="C85" s="8" t="s">
        <v>295</v>
      </c>
      <c r="D85" s="8" t="s">
        <v>572</v>
      </c>
      <c r="E85" s="8">
        <v>0.7364321574357362</v>
      </c>
    </row>
    <row r="86" spans="1:5" ht="24.75">
      <c r="A86" s="8" t="s">
        <v>399</v>
      </c>
      <c r="B86" s="8" t="s">
        <v>253</v>
      </c>
      <c r="C86" s="8" t="s">
        <v>295</v>
      </c>
      <c r="D86" s="8" t="s">
        <v>573</v>
      </c>
      <c r="E86" s="8">
        <v>0.59532888199513956</v>
      </c>
    </row>
    <row r="87" spans="1:5" ht="24.75">
      <c r="A87" s="8" t="s">
        <v>399</v>
      </c>
      <c r="B87" s="8" t="s">
        <v>253</v>
      </c>
      <c r="C87" s="8" t="s">
        <v>295</v>
      </c>
      <c r="D87" s="8" t="s">
        <v>574</v>
      </c>
      <c r="E87" s="8">
        <v>5.6329353247018217</v>
      </c>
    </row>
    <row r="88" spans="1:5" ht="24.75">
      <c r="A88" s="8" t="s">
        <v>399</v>
      </c>
      <c r="B88" s="8" t="s">
        <v>253</v>
      </c>
      <c r="C88" s="8" t="s">
        <v>295</v>
      </c>
      <c r="D88" s="8" t="s">
        <v>575</v>
      </c>
      <c r="E88" s="8">
        <v>0.18966171405716639</v>
      </c>
    </row>
    <row r="89" spans="1:5" ht="24.75">
      <c r="A89" s="8" t="s">
        <v>399</v>
      </c>
      <c r="B89" s="8" t="s">
        <v>253</v>
      </c>
      <c r="C89" s="8" t="s">
        <v>295</v>
      </c>
      <c r="D89" s="8" t="s">
        <v>576</v>
      </c>
      <c r="E89" s="8">
        <v>1.8599023504607179</v>
      </c>
    </row>
    <row r="90" spans="1:5" ht="24.75">
      <c r="A90" s="8" t="s">
        <v>399</v>
      </c>
      <c r="B90" s="8" t="s">
        <v>253</v>
      </c>
      <c r="C90" s="8" t="s">
        <v>295</v>
      </c>
      <c r="D90" s="8" t="s">
        <v>577</v>
      </c>
      <c r="E90" s="8">
        <v>3.8677549545369158E-2</v>
      </c>
    </row>
    <row r="91" spans="1:5" ht="24.75">
      <c r="A91" s="8" t="s">
        <v>399</v>
      </c>
      <c r="B91" s="8" t="s">
        <v>253</v>
      </c>
      <c r="C91" s="8" t="s">
        <v>295</v>
      </c>
      <c r="D91" s="8" t="s">
        <v>578</v>
      </c>
      <c r="E91" s="8">
        <v>0.73168208278967239</v>
      </c>
    </row>
    <row r="92" spans="1:5" ht="24.75">
      <c r="A92" s="8" t="s">
        <v>399</v>
      </c>
      <c r="B92" s="8" t="s">
        <v>253</v>
      </c>
      <c r="C92" s="8" t="s">
        <v>295</v>
      </c>
      <c r="D92" s="8" t="s">
        <v>579</v>
      </c>
      <c r="E92" s="8">
        <v>1.8599023504607179</v>
      </c>
    </row>
    <row r="93" spans="1:5" ht="24.75">
      <c r="A93" s="8" t="s">
        <v>399</v>
      </c>
      <c r="B93" s="8" t="s">
        <v>253</v>
      </c>
      <c r="C93" s="8" t="s">
        <v>295</v>
      </c>
      <c r="D93" s="8" t="s">
        <v>580</v>
      </c>
      <c r="E93" s="8">
        <v>3.8677549545369151E-2</v>
      </c>
    </row>
    <row r="94" spans="1:5" ht="24.75">
      <c r="A94" s="8" t="s">
        <v>399</v>
      </c>
      <c r="B94" s="8" t="s">
        <v>253</v>
      </c>
      <c r="C94" s="8" t="s">
        <v>295</v>
      </c>
      <c r="D94" s="8" t="s">
        <v>581</v>
      </c>
      <c r="E94" s="8">
        <v>0.73628221720492837</v>
      </c>
    </row>
    <row r="95" spans="1:5" ht="24.75">
      <c r="A95" s="8" t="s">
        <v>399</v>
      </c>
      <c r="B95" s="8" t="s">
        <v>253</v>
      </c>
      <c r="C95" s="8" t="s">
        <v>295</v>
      </c>
      <c r="D95" s="8" t="s">
        <v>582</v>
      </c>
      <c r="E95" s="8">
        <v>0.56533180213600764</v>
      </c>
    </row>
    <row r="96" spans="1:5" ht="24.75">
      <c r="A96" s="8" t="s">
        <v>399</v>
      </c>
      <c r="B96" s="8" t="s">
        <v>253</v>
      </c>
      <c r="C96" s="8" t="s">
        <v>295</v>
      </c>
      <c r="D96" s="8" t="s">
        <v>583</v>
      </c>
      <c r="E96" s="8">
        <v>4.8420978123277063</v>
      </c>
    </row>
    <row r="97" spans="1:5" ht="24.75">
      <c r="A97" s="8" t="s">
        <v>399</v>
      </c>
      <c r="B97" s="8" t="s">
        <v>253</v>
      </c>
      <c r="C97" s="8" t="s">
        <v>295</v>
      </c>
      <c r="D97" s="8" t="s">
        <v>584</v>
      </c>
      <c r="E97" s="8">
        <v>0.62240448641445423</v>
      </c>
    </row>
    <row r="98" spans="1:5" ht="24.75">
      <c r="A98" s="8" t="s">
        <v>399</v>
      </c>
      <c r="B98" s="8" t="s">
        <v>253</v>
      </c>
      <c r="C98" s="8" t="s">
        <v>295</v>
      </c>
      <c r="D98" s="8" t="s">
        <v>585</v>
      </c>
      <c r="E98" s="8">
        <v>0.76890011342211206</v>
      </c>
    </row>
    <row r="99" spans="1:5" ht="24.75">
      <c r="A99" s="8" t="s">
        <v>399</v>
      </c>
      <c r="B99" s="8" t="s">
        <v>253</v>
      </c>
      <c r="C99" s="8" t="s">
        <v>295</v>
      </c>
      <c r="D99" s="8" t="s">
        <v>586</v>
      </c>
      <c r="E99" s="8">
        <v>1.8599067403739131</v>
      </c>
    </row>
    <row r="100" spans="1:5" ht="24.75">
      <c r="A100" s="8" t="s">
        <v>399</v>
      </c>
      <c r="B100" s="8" t="s">
        <v>253</v>
      </c>
      <c r="C100" s="8" t="s">
        <v>295</v>
      </c>
      <c r="D100" s="8" t="s">
        <v>587</v>
      </c>
      <c r="E100" s="8">
        <v>3.867754954536811E-2</v>
      </c>
    </row>
    <row r="101" spans="1:5" ht="24.75">
      <c r="A101" s="8" t="s">
        <v>399</v>
      </c>
      <c r="B101" s="8" t="s">
        <v>253</v>
      </c>
      <c r="C101" s="8" t="s">
        <v>295</v>
      </c>
      <c r="D101" s="8" t="s">
        <v>588</v>
      </c>
      <c r="E101" s="8">
        <v>0.49183202499034023</v>
      </c>
    </row>
    <row r="102" spans="1:5" ht="24.75">
      <c r="A102" s="8" t="s">
        <v>399</v>
      </c>
      <c r="B102" s="8" t="s">
        <v>253</v>
      </c>
      <c r="C102" s="8" t="s">
        <v>295</v>
      </c>
      <c r="D102" s="8" t="s">
        <v>589</v>
      </c>
      <c r="E102" s="8">
        <v>6.0571099999999989</v>
      </c>
    </row>
    <row r="103" spans="1:5" ht="24.75">
      <c r="A103" s="8" t="s">
        <v>399</v>
      </c>
      <c r="B103" s="8" t="s">
        <v>253</v>
      </c>
      <c r="C103" s="8" t="s">
        <v>295</v>
      </c>
      <c r="D103" s="8" t="s">
        <v>590</v>
      </c>
      <c r="E103" s="8">
        <v>0.83760999999999752</v>
      </c>
    </row>
    <row r="104" spans="1:5" ht="24.75">
      <c r="A104" s="8" t="s">
        <v>399</v>
      </c>
      <c r="B104" s="8" t="s">
        <v>253</v>
      </c>
      <c r="C104" s="8" t="s">
        <v>295</v>
      </c>
      <c r="D104" s="8" t="s">
        <v>591</v>
      </c>
      <c r="E104" s="8">
        <v>0.73641311325021974</v>
      </c>
    </row>
    <row r="105" spans="1:5" ht="24.75">
      <c r="A105" s="8" t="s">
        <v>399</v>
      </c>
      <c r="B105" s="8" t="s">
        <v>253</v>
      </c>
      <c r="C105" s="8" t="s">
        <v>295</v>
      </c>
      <c r="D105" s="8" t="s">
        <v>592</v>
      </c>
      <c r="E105" s="8">
        <v>1.8599067403739131</v>
      </c>
    </row>
    <row r="106" spans="1:5" ht="24.75">
      <c r="A106" s="8" t="s">
        <v>399</v>
      </c>
      <c r="B106" s="8" t="s">
        <v>253</v>
      </c>
      <c r="C106" s="8" t="s">
        <v>295</v>
      </c>
      <c r="D106" s="8" t="s">
        <v>593</v>
      </c>
      <c r="E106" s="8">
        <v>3.8677549545367791E-2</v>
      </c>
    </row>
    <row r="107" spans="1:5" ht="24.75">
      <c r="A107" s="8" t="s">
        <v>399</v>
      </c>
      <c r="B107" s="8" t="s">
        <v>253</v>
      </c>
      <c r="C107" s="8" t="s">
        <v>295</v>
      </c>
      <c r="D107" s="8" t="s">
        <v>594</v>
      </c>
      <c r="E107" s="8">
        <v>0.49168208498687926</v>
      </c>
    </row>
    <row r="108" spans="1:5" ht="24.75">
      <c r="A108" s="8" t="s">
        <v>399</v>
      </c>
      <c r="B108" s="8" t="s">
        <v>253</v>
      </c>
      <c r="C108" s="8" t="s">
        <v>295</v>
      </c>
      <c r="D108" s="8" t="s">
        <v>595</v>
      </c>
      <c r="E108" s="8">
        <v>4.8646099999999937</v>
      </c>
    </row>
    <row r="109" spans="1:5" ht="24.75">
      <c r="A109" s="8" t="s">
        <v>399</v>
      </c>
      <c r="B109" s="8" t="s">
        <v>253</v>
      </c>
      <c r="C109" s="8" t="s">
        <v>295</v>
      </c>
      <c r="D109" s="8" t="s">
        <v>596</v>
      </c>
      <c r="E109" s="8">
        <v>1.8577025103967431</v>
      </c>
    </row>
    <row r="110" spans="1:5" ht="24.75">
      <c r="A110" s="8" t="s">
        <v>399</v>
      </c>
      <c r="B110" s="8" t="s">
        <v>253</v>
      </c>
      <c r="C110" s="8" t="s">
        <v>295</v>
      </c>
      <c r="D110" s="8" t="s">
        <v>597</v>
      </c>
      <c r="E110" s="8">
        <v>1.8597523504778659</v>
      </c>
    </row>
    <row r="111" spans="1:5" ht="24.75">
      <c r="A111" s="8" t="s">
        <v>399</v>
      </c>
      <c r="B111" s="8" t="s">
        <v>253</v>
      </c>
      <c r="C111" s="8" t="s">
        <v>295</v>
      </c>
      <c r="D111" s="8" t="s">
        <v>598</v>
      </c>
      <c r="E111" s="8">
        <v>4.1173057831712094E-2</v>
      </c>
    </row>
    <row r="112" spans="1:5" ht="24.75">
      <c r="A112" s="8" t="s">
        <v>399</v>
      </c>
      <c r="B112" s="8" t="s">
        <v>253</v>
      </c>
      <c r="C112" s="8" t="s">
        <v>295</v>
      </c>
      <c r="D112" s="8" t="s">
        <v>599</v>
      </c>
      <c r="E112" s="8">
        <v>0.54620690537286598</v>
      </c>
    </row>
    <row r="113" spans="1:5" ht="24.75">
      <c r="A113" s="8" t="s">
        <v>399</v>
      </c>
      <c r="B113" s="8" t="s">
        <v>253</v>
      </c>
      <c r="C113" s="8" t="s">
        <v>295</v>
      </c>
      <c r="D113" s="8" t="s">
        <v>600</v>
      </c>
      <c r="E113" s="8">
        <v>3.9938294222931381E-2</v>
      </c>
    </row>
    <row r="114" spans="1:5" ht="24.75">
      <c r="A114" s="8" t="s">
        <v>399</v>
      </c>
      <c r="B114" s="8" t="s">
        <v>253</v>
      </c>
      <c r="C114" s="8" t="s">
        <v>295</v>
      </c>
      <c r="D114" s="8" t="s">
        <v>601</v>
      </c>
      <c r="E114" s="8">
        <v>0.54380710516022501</v>
      </c>
    </row>
    <row r="115" spans="1:5" ht="24.75">
      <c r="A115" s="8" t="s">
        <v>399</v>
      </c>
      <c r="B115" s="8" t="s">
        <v>253</v>
      </c>
      <c r="C115" s="8" t="s">
        <v>295</v>
      </c>
      <c r="D115" s="8" t="s">
        <v>602</v>
      </c>
      <c r="E115" s="8">
        <v>0.19780457409514801</v>
      </c>
    </row>
    <row r="116" spans="1:5" ht="24.75">
      <c r="A116" s="8" t="s">
        <v>399</v>
      </c>
      <c r="B116" s="8" t="s">
        <v>253</v>
      </c>
      <c r="C116" s="8" t="s">
        <v>295</v>
      </c>
      <c r="D116" s="8" t="s">
        <v>603</v>
      </c>
      <c r="E116" s="8">
        <v>2.475202053966544</v>
      </c>
    </row>
    <row r="117" spans="1:5" ht="24.75">
      <c r="A117" s="8" t="s">
        <v>399</v>
      </c>
      <c r="B117" s="8" t="s">
        <v>253</v>
      </c>
      <c r="C117" s="8" t="s">
        <v>295</v>
      </c>
      <c r="D117" s="8" t="s">
        <v>604</v>
      </c>
      <c r="E117" s="8">
        <v>1.6076099999999989</v>
      </c>
    </row>
    <row r="118" spans="1:5" ht="24.75">
      <c r="A118" s="8" t="s">
        <v>399</v>
      </c>
      <c r="B118" s="8" t="s">
        <v>253</v>
      </c>
      <c r="C118" s="8" t="s">
        <v>295</v>
      </c>
      <c r="D118" s="8" t="s">
        <v>605</v>
      </c>
      <c r="E118" s="8">
        <v>1.8643523504607182</v>
      </c>
    </row>
    <row r="119" spans="1:5" ht="24.75">
      <c r="A119" s="8" t="s">
        <v>399</v>
      </c>
      <c r="B119" s="8" t="s">
        <v>253</v>
      </c>
      <c r="C119" s="8" t="s">
        <v>295</v>
      </c>
      <c r="D119" s="8" t="s">
        <v>606</v>
      </c>
      <c r="E119" s="8">
        <v>0.53924344708118588</v>
      </c>
    </row>
    <row r="120" spans="1:5" ht="24.75">
      <c r="A120" s="8" t="s">
        <v>399</v>
      </c>
      <c r="B120" s="8" t="s">
        <v>253</v>
      </c>
      <c r="C120" s="8" t="s">
        <v>295</v>
      </c>
      <c r="D120" s="8" t="s">
        <v>607</v>
      </c>
      <c r="E120" s="8">
        <v>0.56984952859422222</v>
      </c>
    </row>
    <row r="121" spans="1:5" ht="24.75">
      <c r="A121" s="8" t="s">
        <v>399</v>
      </c>
      <c r="B121" s="8" t="s">
        <v>253</v>
      </c>
      <c r="C121" s="8" t="s">
        <v>295</v>
      </c>
      <c r="D121" s="8" t="s">
        <v>608</v>
      </c>
      <c r="E121" s="8">
        <v>3.7998137126702469E-2</v>
      </c>
    </row>
    <row r="122" spans="1:5" ht="24.75">
      <c r="A122" s="8" t="s">
        <v>399</v>
      </c>
      <c r="B122" s="8" t="s">
        <v>253</v>
      </c>
      <c r="C122" s="8" t="s">
        <v>295</v>
      </c>
      <c r="D122" s="8" t="s">
        <v>609</v>
      </c>
      <c r="E122" s="8">
        <v>2.1367841195969186</v>
      </c>
    </row>
    <row r="123" spans="1:5" ht="24.75">
      <c r="A123" s="8" t="s">
        <v>399</v>
      </c>
      <c r="B123" s="8" t="s">
        <v>253</v>
      </c>
      <c r="C123" s="8" t="s">
        <v>295</v>
      </c>
      <c r="D123" s="8" t="s">
        <v>610</v>
      </c>
      <c r="E123" s="8">
        <v>0.53640988928076583</v>
      </c>
    </row>
    <row r="124" spans="1:5" ht="24.75">
      <c r="A124" s="8" t="s">
        <v>399</v>
      </c>
      <c r="B124" s="8" t="s">
        <v>253</v>
      </c>
      <c r="C124" s="8" t="s">
        <v>295</v>
      </c>
      <c r="D124" s="8" t="s">
        <v>611</v>
      </c>
      <c r="E124" s="8">
        <v>1.8599067403739131</v>
      </c>
    </row>
    <row r="125" spans="1:5" ht="24.75">
      <c r="A125" s="8" t="s">
        <v>399</v>
      </c>
      <c r="B125" s="8" t="s">
        <v>253</v>
      </c>
      <c r="C125" s="8" t="s">
        <v>295</v>
      </c>
      <c r="D125" s="8" t="s">
        <v>612</v>
      </c>
      <c r="E125" s="8">
        <v>3.867754954536811E-2</v>
      </c>
    </row>
    <row r="126" spans="1:5" ht="24.75">
      <c r="A126" s="8" t="s">
        <v>399</v>
      </c>
      <c r="B126" s="8" t="s">
        <v>253</v>
      </c>
      <c r="C126" s="8" t="s">
        <v>295</v>
      </c>
      <c r="D126" s="8" t="s">
        <v>613</v>
      </c>
      <c r="E126" s="8">
        <v>0.5070362968268749</v>
      </c>
    </row>
    <row r="127" spans="1:5" ht="24.75">
      <c r="A127" s="8" t="s">
        <v>399</v>
      </c>
      <c r="B127" s="8" t="s">
        <v>253</v>
      </c>
      <c r="C127" s="8" t="s">
        <v>295</v>
      </c>
      <c r="D127" s="8" t="s">
        <v>614</v>
      </c>
      <c r="E127" s="8">
        <v>2.7980099989038334</v>
      </c>
    </row>
    <row r="128" spans="1:5" ht="24.75">
      <c r="A128" s="8" t="s">
        <v>399</v>
      </c>
      <c r="B128" s="8" t="s">
        <v>253</v>
      </c>
      <c r="C128" s="8" t="s">
        <v>295</v>
      </c>
      <c r="D128" s="8" t="s">
        <v>615</v>
      </c>
      <c r="E128" s="8">
        <v>0.5768999083746893</v>
      </c>
    </row>
    <row r="129" spans="1:5" ht="24.75">
      <c r="A129" s="8" t="s">
        <v>399</v>
      </c>
      <c r="B129" s="8" t="s">
        <v>253</v>
      </c>
      <c r="C129" s="8" t="s">
        <v>295</v>
      </c>
      <c r="D129" s="8" t="s">
        <v>616</v>
      </c>
      <c r="E129" s="8">
        <v>1.8599067403739131</v>
      </c>
    </row>
    <row r="130" spans="1:5" ht="24.75">
      <c r="A130" s="8" t="s">
        <v>399</v>
      </c>
      <c r="B130" s="8" t="s">
        <v>253</v>
      </c>
      <c r="C130" s="8" t="s">
        <v>295</v>
      </c>
      <c r="D130" s="8" t="s">
        <v>617</v>
      </c>
      <c r="E130" s="8">
        <v>3.867754954536811E-2</v>
      </c>
    </row>
    <row r="131" spans="1:5" ht="24.75">
      <c r="A131" s="8" t="s">
        <v>399</v>
      </c>
      <c r="B131" s="8" t="s">
        <v>253</v>
      </c>
      <c r="C131" s="8" t="s">
        <v>295</v>
      </c>
      <c r="D131" s="8" t="s">
        <v>618</v>
      </c>
      <c r="E131" s="8">
        <v>0.50683175289446025</v>
      </c>
    </row>
    <row r="132" spans="1:5" ht="24.75">
      <c r="A132" s="8" t="s">
        <v>399</v>
      </c>
      <c r="B132" s="8" t="s">
        <v>253</v>
      </c>
      <c r="C132" s="8" t="s">
        <v>295</v>
      </c>
      <c r="D132" s="8" t="s">
        <v>619</v>
      </c>
      <c r="E132" s="8">
        <v>2.4142114811519884</v>
      </c>
    </row>
    <row r="133" spans="1:5" ht="24.75">
      <c r="A133" s="8" t="s">
        <v>399</v>
      </c>
      <c r="B133" s="8" t="s">
        <v>253</v>
      </c>
      <c r="C133" s="8" t="s">
        <v>295</v>
      </c>
      <c r="D133" s="8" t="s">
        <v>620</v>
      </c>
      <c r="E133" s="8">
        <v>0.5777735480561198</v>
      </c>
    </row>
    <row r="134" spans="1:5" ht="24.75">
      <c r="A134" s="8" t="s">
        <v>399</v>
      </c>
      <c r="B134" s="8" t="s">
        <v>253</v>
      </c>
      <c r="C134" s="8" t="s">
        <v>295</v>
      </c>
      <c r="D134" s="8" t="s">
        <v>621</v>
      </c>
      <c r="E134" s="8">
        <v>1.9071023504607185</v>
      </c>
    </row>
    <row r="135" spans="1:5" ht="24.75">
      <c r="A135" s="8" t="s">
        <v>399</v>
      </c>
      <c r="B135" s="8" t="s">
        <v>253</v>
      </c>
      <c r="C135" s="8" t="s">
        <v>295</v>
      </c>
      <c r="D135" s="8" t="s">
        <v>622</v>
      </c>
      <c r="E135" s="8">
        <v>6.6172051194801434E-2</v>
      </c>
    </row>
    <row r="136" spans="1:5" ht="24.75">
      <c r="A136" s="8" t="s">
        <v>399</v>
      </c>
      <c r="B136" s="8" t="s">
        <v>253</v>
      </c>
      <c r="C136" s="8" t="s">
        <v>295</v>
      </c>
      <c r="D136" s="8" t="s">
        <v>623</v>
      </c>
      <c r="E136" s="8">
        <v>0.50633195021110133</v>
      </c>
    </row>
    <row r="137" spans="1:5" ht="24.75">
      <c r="A137" s="8" t="s">
        <v>399</v>
      </c>
      <c r="B137" s="8" t="s">
        <v>253</v>
      </c>
      <c r="C137" s="8" t="s">
        <v>295</v>
      </c>
      <c r="D137" s="8" t="s">
        <v>624</v>
      </c>
      <c r="E137" s="8">
        <v>1.3494295812675334</v>
      </c>
    </row>
    <row r="138" spans="1:5" ht="24.75">
      <c r="A138" s="8" t="s">
        <v>399</v>
      </c>
      <c r="B138" s="8" t="s">
        <v>253</v>
      </c>
      <c r="C138" s="8" t="s">
        <v>295</v>
      </c>
      <c r="D138" s="8" t="s">
        <v>625</v>
      </c>
      <c r="E138" s="8">
        <v>1.3097842150171763</v>
      </c>
    </row>
    <row r="139" spans="1:5" ht="24.75">
      <c r="A139" s="8" t="s">
        <v>399</v>
      </c>
      <c r="B139" s="8" t="s">
        <v>253</v>
      </c>
      <c r="C139" s="8" t="s">
        <v>295</v>
      </c>
      <c r="D139" s="8" t="s">
        <v>626</v>
      </c>
      <c r="E139" s="8">
        <v>1.8974067403739125</v>
      </c>
    </row>
    <row r="140" spans="1:5" ht="24.75">
      <c r="A140" s="8" t="s">
        <v>399</v>
      </c>
      <c r="B140" s="8" t="s">
        <v>253</v>
      </c>
      <c r="C140" s="8" t="s">
        <v>295</v>
      </c>
      <c r="D140" s="8" t="s">
        <v>627</v>
      </c>
      <c r="E140" s="8">
        <v>3.867754954536811E-2</v>
      </c>
    </row>
    <row r="141" spans="1:5" ht="24.75">
      <c r="A141" s="8" t="s">
        <v>399</v>
      </c>
      <c r="B141" s="8" t="s">
        <v>253</v>
      </c>
      <c r="C141" s="8" t="s">
        <v>295</v>
      </c>
      <c r="D141" s="8" t="s">
        <v>628</v>
      </c>
      <c r="E141" s="8">
        <v>0.55735644295279962</v>
      </c>
    </row>
    <row r="142" spans="1:5" ht="24.75">
      <c r="A142" s="8" t="s">
        <v>399</v>
      </c>
      <c r="B142" s="8" t="s">
        <v>253</v>
      </c>
      <c r="C142" s="8" t="s">
        <v>295</v>
      </c>
      <c r="D142" s="8" t="s">
        <v>629</v>
      </c>
      <c r="E142" s="8">
        <v>3.9845687621520702</v>
      </c>
    </row>
    <row r="143" spans="1:5" ht="24.75">
      <c r="A143" s="8" t="s">
        <v>399</v>
      </c>
      <c r="B143" s="8" t="s">
        <v>253</v>
      </c>
      <c r="C143" s="8" t="s">
        <v>295</v>
      </c>
      <c r="D143" s="8" t="s">
        <v>630</v>
      </c>
      <c r="E143" s="8">
        <v>1.7556067403739124</v>
      </c>
    </row>
    <row r="144" spans="1:5" ht="24.75">
      <c r="A144" s="8" t="s">
        <v>399</v>
      </c>
      <c r="B144" s="8" t="s">
        <v>253</v>
      </c>
      <c r="C144" s="8" t="s">
        <v>295</v>
      </c>
      <c r="D144" s="8" t="s">
        <v>631</v>
      </c>
      <c r="E144" s="8">
        <v>2.6177053220990069E-2</v>
      </c>
    </row>
    <row r="145" spans="1:5" ht="24.75">
      <c r="A145" s="8" t="s">
        <v>399</v>
      </c>
      <c r="B145" s="8" t="s">
        <v>253</v>
      </c>
      <c r="C145" s="8" t="s">
        <v>295</v>
      </c>
      <c r="D145" s="8" t="s">
        <v>632</v>
      </c>
      <c r="E145" s="8">
        <v>0.50833154924602275</v>
      </c>
    </row>
    <row r="146" spans="1:5" ht="24.75">
      <c r="A146" s="8" t="s">
        <v>399</v>
      </c>
      <c r="B146" s="8" t="s">
        <v>253</v>
      </c>
      <c r="C146" s="8" t="s">
        <v>295</v>
      </c>
      <c r="D146" s="8" t="s">
        <v>633</v>
      </c>
      <c r="E146" s="8">
        <v>4.3974224663559873</v>
      </c>
    </row>
    <row r="147" spans="1:5" ht="24.75">
      <c r="A147" s="8" t="s">
        <v>399</v>
      </c>
      <c r="B147" s="8" t="s">
        <v>253</v>
      </c>
      <c r="C147" s="8" t="s">
        <v>295</v>
      </c>
      <c r="D147" s="8" t="s">
        <v>634</v>
      </c>
      <c r="E147" s="8">
        <v>0.57642294664611038</v>
      </c>
    </row>
    <row r="148" spans="1:5" ht="24.75">
      <c r="A148" s="8" t="s">
        <v>399</v>
      </c>
      <c r="B148" s="8" t="s">
        <v>253</v>
      </c>
      <c r="C148" s="8" t="s">
        <v>295</v>
      </c>
      <c r="D148" s="8" t="s">
        <v>635</v>
      </c>
      <c r="E148" s="8">
        <v>1.9720523504607173</v>
      </c>
    </row>
    <row r="149" spans="1:5" ht="24.75">
      <c r="A149" s="8" t="s">
        <v>399</v>
      </c>
      <c r="B149" s="8" t="s">
        <v>253</v>
      </c>
      <c r="C149" s="8" t="s">
        <v>295</v>
      </c>
      <c r="D149" s="8" t="s">
        <v>636</v>
      </c>
      <c r="E149" s="8">
        <v>5.1180049878525487E-2</v>
      </c>
    </row>
    <row r="150" spans="1:5" ht="24.75">
      <c r="A150" s="8" t="s">
        <v>399</v>
      </c>
      <c r="B150" s="8" t="s">
        <v>253</v>
      </c>
      <c r="C150" s="8" t="s">
        <v>295</v>
      </c>
      <c r="D150" s="8" t="s">
        <v>637</v>
      </c>
      <c r="E150" s="8">
        <v>0.58383167469361175</v>
      </c>
    </row>
    <row r="151" spans="1:5" ht="24.75">
      <c r="A151" s="8" t="s">
        <v>399</v>
      </c>
      <c r="B151" s="8" t="s">
        <v>253</v>
      </c>
      <c r="C151" s="8" t="s">
        <v>295</v>
      </c>
      <c r="D151" s="8" t="s">
        <v>638</v>
      </c>
      <c r="E151" s="8">
        <v>0.84921947790974872</v>
      </c>
    </row>
    <row r="152" spans="1:5" ht="24.75">
      <c r="A152" s="8" t="s">
        <v>399</v>
      </c>
      <c r="B152" s="8" t="s">
        <v>253</v>
      </c>
      <c r="C152" s="8" t="s">
        <v>295</v>
      </c>
      <c r="D152" s="8" t="s">
        <v>639</v>
      </c>
      <c r="E152" s="8">
        <v>0.95315130750241994</v>
      </c>
    </row>
    <row r="153" spans="1:5" ht="24.75">
      <c r="A153" s="8" t="s">
        <v>399</v>
      </c>
      <c r="B153" s="8" t="s">
        <v>253</v>
      </c>
      <c r="C153" s="8" t="s">
        <v>295</v>
      </c>
      <c r="D153" s="8" t="s">
        <v>640</v>
      </c>
      <c r="E153" s="8">
        <v>1.841006740373913</v>
      </c>
    </row>
    <row r="154" spans="1:5" ht="24.75">
      <c r="A154" s="8" t="s">
        <v>399</v>
      </c>
      <c r="B154" s="8" t="s">
        <v>253</v>
      </c>
      <c r="C154" s="8" t="s">
        <v>295</v>
      </c>
      <c r="D154" s="8" t="s">
        <v>641</v>
      </c>
      <c r="E154" s="8">
        <v>0.11120230625121101</v>
      </c>
    </row>
    <row r="155" spans="1:5" ht="24.75">
      <c r="A155" s="8" t="s">
        <v>399</v>
      </c>
      <c r="B155" s="8" t="s">
        <v>253</v>
      </c>
      <c r="C155" s="8" t="s">
        <v>295</v>
      </c>
      <c r="D155" s="8" t="s">
        <v>642</v>
      </c>
      <c r="E155" s="8">
        <v>3.7436104551790715E-2</v>
      </c>
    </row>
    <row r="156" spans="1:5" ht="24.75">
      <c r="A156" s="8" t="s">
        <v>399</v>
      </c>
      <c r="B156" s="8" t="s">
        <v>253</v>
      </c>
      <c r="C156" s="8" t="s">
        <v>295</v>
      </c>
      <c r="D156" s="8" t="s">
        <v>643</v>
      </c>
      <c r="E156" s="8">
        <v>3.6581770040764683E-2</v>
      </c>
    </row>
    <row r="157" spans="1:5" ht="24.75">
      <c r="A157" s="8" t="s">
        <v>399</v>
      </c>
      <c r="B157" s="8" t="s">
        <v>253</v>
      </c>
      <c r="C157" s="8" t="s">
        <v>295</v>
      </c>
      <c r="D157" s="8" t="s">
        <v>644</v>
      </c>
      <c r="E157" s="8">
        <v>0.14779351911309671</v>
      </c>
    </row>
    <row r="158" spans="1:5" ht="24.75">
      <c r="A158" s="8" t="s">
        <v>399</v>
      </c>
      <c r="B158" s="8" t="s">
        <v>253</v>
      </c>
      <c r="C158" s="8" t="s">
        <v>295</v>
      </c>
      <c r="D158" s="8" t="s">
        <v>645</v>
      </c>
      <c r="E158" s="8">
        <v>8.8077306251210574E-2</v>
      </c>
    </row>
    <row r="159" spans="1:5" ht="24.75">
      <c r="A159" s="8" t="s">
        <v>399</v>
      </c>
      <c r="B159" s="8" t="s">
        <v>253</v>
      </c>
      <c r="C159" s="8" t="s">
        <v>295</v>
      </c>
      <c r="D159" s="8" t="s">
        <v>646</v>
      </c>
      <c r="E159" s="8">
        <v>3.6800487496957787E-2</v>
      </c>
    </row>
    <row r="160" spans="1:5" ht="24.75">
      <c r="A160" s="8" t="s">
        <v>399</v>
      </c>
      <c r="B160" s="8" t="s">
        <v>253</v>
      </c>
      <c r="C160" s="8" t="s">
        <v>295</v>
      </c>
      <c r="D160" s="8" t="s">
        <v>647</v>
      </c>
      <c r="E160" s="8">
        <v>3.6994612502422225E-2</v>
      </c>
    </row>
    <row r="161" spans="1:5" ht="24.75">
      <c r="A161" s="8" t="s">
        <v>399</v>
      </c>
      <c r="B161" s="8" t="s">
        <v>253</v>
      </c>
      <c r="C161" s="8" t="s">
        <v>295</v>
      </c>
      <c r="D161" s="8" t="s">
        <v>648</v>
      </c>
      <c r="E161" s="8">
        <v>0.22832239851553487</v>
      </c>
    </row>
    <row r="162" spans="1:5" ht="24.75">
      <c r="A162" s="8" t="s">
        <v>399</v>
      </c>
      <c r="B162" s="8" t="s">
        <v>253</v>
      </c>
      <c r="C162" s="8" t="s">
        <v>295</v>
      </c>
      <c r="D162" s="8" t="s">
        <v>649</v>
      </c>
      <c r="E162" s="8">
        <v>5.3077306251210682E-2</v>
      </c>
    </row>
    <row r="163" spans="1:5" ht="24.75">
      <c r="A163" s="8" t="s">
        <v>399</v>
      </c>
      <c r="B163" s="8" t="s">
        <v>253</v>
      </c>
      <c r="C163" s="8" t="s">
        <v>295</v>
      </c>
      <c r="D163" s="8" t="s">
        <v>650</v>
      </c>
      <c r="E163" s="8">
        <v>4.6800612496172109E-2</v>
      </c>
    </row>
    <row r="164" spans="1:5" ht="24.75">
      <c r="A164" s="8" t="s">
        <v>399</v>
      </c>
      <c r="B164" s="8" t="s">
        <v>253</v>
      </c>
      <c r="C164" s="8" t="s">
        <v>295</v>
      </c>
      <c r="D164" s="8" t="s">
        <v>651</v>
      </c>
      <c r="E164" s="8">
        <v>3.8785460098898064E-2</v>
      </c>
    </row>
    <row r="165" spans="1:5" ht="24.75">
      <c r="A165" s="8" t="s">
        <v>399</v>
      </c>
      <c r="B165" s="8" t="s">
        <v>253</v>
      </c>
      <c r="C165" s="8" t="s">
        <v>295</v>
      </c>
      <c r="D165" s="8" t="s">
        <v>652</v>
      </c>
      <c r="E165" s="8">
        <v>0.24860854843844382</v>
      </c>
    </row>
    <row r="166" spans="1:5" ht="24.75">
      <c r="A166" s="8" t="s">
        <v>399</v>
      </c>
      <c r="B166" s="8" t="s">
        <v>253</v>
      </c>
      <c r="C166" s="8" t="s">
        <v>295</v>
      </c>
      <c r="D166" s="8" t="s">
        <v>653</v>
      </c>
      <c r="E166" s="8">
        <v>0.10057730625121106</v>
      </c>
    </row>
    <row r="167" spans="1:5" ht="24.75">
      <c r="A167" s="8" t="s">
        <v>399</v>
      </c>
      <c r="B167" s="8" t="s">
        <v>253</v>
      </c>
      <c r="C167" s="8" t="s">
        <v>295</v>
      </c>
      <c r="D167" s="8" t="s">
        <v>654</v>
      </c>
      <c r="E167" s="8">
        <v>3.6794487571951966E-2</v>
      </c>
    </row>
    <row r="168" spans="1:5" ht="24.75">
      <c r="A168" s="8" t="s">
        <v>399</v>
      </c>
      <c r="B168" s="8" t="s">
        <v>253</v>
      </c>
      <c r="C168" s="8" t="s">
        <v>295</v>
      </c>
      <c r="D168" s="8" t="s">
        <v>655</v>
      </c>
      <c r="E168" s="8">
        <v>3.6994582989705767E-2</v>
      </c>
    </row>
    <row r="169" spans="1:5" ht="24.75">
      <c r="A169" s="8" t="s">
        <v>399</v>
      </c>
      <c r="B169" s="8" t="s">
        <v>253</v>
      </c>
      <c r="C169" s="8" t="s">
        <v>295</v>
      </c>
      <c r="D169" s="8" t="s">
        <v>656</v>
      </c>
      <c r="E169" s="8">
        <v>0.14311180889491112</v>
      </c>
    </row>
    <row r="170" spans="1:5" ht="24.75">
      <c r="A170" s="8" t="s">
        <v>399</v>
      </c>
      <c r="B170" s="8" t="s">
        <v>253</v>
      </c>
      <c r="C170" s="8" t="s">
        <v>295</v>
      </c>
      <c r="D170" s="8" t="s">
        <v>657</v>
      </c>
      <c r="E170" s="8">
        <v>7.8077306251210885E-2</v>
      </c>
    </row>
    <row r="171" spans="1:5" ht="24.75">
      <c r="A171" s="8" t="s">
        <v>399</v>
      </c>
      <c r="B171" s="8" t="s">
        <v>253</v>
      </c>
      <c r="C171" s="8" t="s">
        <v>295</v>
      </c>
      <c r="D171" s="8" t="s">
        <v>658</v>
      </c>
      <c r="E171" s="8">
        <v>3.6801242263968914E-2</v>
      </c>
    </row>
    <row r="172" spans="1:5" ht="24.75">
      <c r="A172" s="8" t="s">
        <v>399</v>
      </c>
      <c r="B172" s="8" t="s">
        <v>253</v>
      </c>
      <c r="C172" s="8" t="s">
        <v>295</v>
      </c>
      <c r="D172" s="8" t="s">
        <v>659</v>
      </c>
      <c r="E172" s="8">
        <v>3.7144612502421667E-2</v>
      </c>
    </row>
    <row r="173" spans="1:5" ht="24.75">
      <c r="A173" s="8" t="s">
        <v>399</v>
      </c>
      <c r="B173" s="8" t="s">
        <v>253</v>
      </c>
      <c r="C173" s="8" t="s">
        <v>295</v>
      </c>
      <c r="D173" s="8" t="s">
        <v>660</v>
      </c>
      <c r="E173" s="8">
        <v>0.23332252961943092</v>
      </c>
    </row>
    <row r="174" spans="1:5" ht="24.75">
      <c r="A174" s="8" t="s">
        <v>399</v>
      </c>
      <c r="B174" s="8" t="s">
        <v>253</v>
      </c>
      <c r="C174" s="8" t="s">
        <v>295</v>
      </c>
      <c r="D174" s="8" t="s">
        <v>661</v>
      </c>
      <c r="E174" s="8">
        <v>8.3077301211038568E-2</v>
      </c>
    </row>
    <row r="175" spans="1:5" ht="24.75">
      <c r="A175" s="8" t="s">
        <v>399</v>
      </c>
      <c r="B175" s="8" t="s">
        <v>253</v>
      </c>
      <c r="C175" s="8" t="s">
        <v>295</v>
      </c>
      <c r="D175" s="8" t="s">
        <v>662</v>
      </c>
      <c r="E175" s="8">
        <v>3.6800239622972207E-2</v>
      </c>
    </row>
    <row r="176" spans="1:5" ht="24.75">
      <c r="A176" s="8" t="s">
        <v>399</v>
      </c>
      <c r="B176" s="8" t="s">
        <v>253</v>
      </c>
      <c r="C176" s="8" t="s">
        <v>295</v>
      </c>
      <c r="D176" s="8" t="s">
        <v>663</v>
      </c>
      <c r="E176" s="8">
        <v>3.6944612502422168E-2</v>
      </c>
    </row>
    <row r="177" spans="1:5" ht="24.75">
      <c r="A177" s="8" t="s">
        <v>399</v>
      </c>
      <c r="B177" s="8" t="s">
        <v>253</v>
      </c>
      <c r="C177" s="8" t="s">
        <v>295</v>
      </c>
      <c r="D177" s="8" t="s">
        <v>664</v>
      </c>
      <c r="E177" s="8">
        <v>0.13105464359767144</v>
      </c>
    </row>
    <row r="178" spans="1:5">
      <c r="A178" s="1" t="s">
        <v>246</v>
      </c>
      <c r="B178" s="1" t="s">
        <v>246</v>
      </c>
      <c r="C178" s="1">
        <f>SUBTOTAL(103,Elements13_3_71[Elemento])</f>
        <v>171</v>
      </c>
      <c r="D178" s="1" t="s">
        <v>246</v>
      </c>
      <c r="E178" s="1">
        <f>SUBTOTAL(109,Elements13_3_71[Totais:])</f>
        <v>196.0138495487241</v>
      </c>
    </row>
  </sheetData>
  <mergeCells count="3">
    <mergeCell ref="A1:E2"/>
    <mergeCell ref="A4:E4"/>
    <mergeCell ref="A5:E5"/>
  </mergeCells>
  <hyperlinks>
    <hyperlink ref="A1" location="'13.3.7'!A1" display="TUBO DE PVC RIGIDO DE 25MM,SOLDAVEL,INCLUSIVE CONEXOES E EMENDAS,EXCLUSIVE ABERTURA E FECHAMENTO DE RASGO.FORNECIMENTO EASSENTAMENTO" xr:uid="{00000000-0004-0000-4700-000000000000}"/>
    <hyperlink ref="B1" location="'13.3.7'!A1" display="TUBO DE PVC RIGIDO DE 25MM,SOLDAVEL,INCLUSIVE CONEXOES E EMENDAS,EXCLUSIVE ABERTURA E FECHAMENTO DE RASGO.FORNECIMENTO EASSENTAMENTO" xr:uid="{00000000-0004-0000-4700-000001000000}"/>
    <hyperlink ref="C1" location="'13.3.7'!A1" display="TUBO DE PVC RIGIDO DE 25MM,SOLDAVEL,INCLUSIVE CONEXOES E EMENDAS,EXCLUSIVE ABERTURA E FECHAMENTO DE RASGO.FORNECIMENTO EASSENTAMENTO" xr:uid="{00000000-0004-0000-4700-000002000000}"/>
    <hyperlink ref="D1" location="'13.3.7'!A1" display="TUBO DE PVC RIGIDO DE 25MM,SOLDAVEL,INCLUSIVE CONEXOES E EMENDAS,EXCLUSIVE ABERTURA E FECHAMENTO DE RASGO.FORNECIMENTO EASSENTAMENTO" xr:uid="{00000000-0004-0000-4700-000003000000}"/>
    <hyperlink ref="E1" location="'13.3.7'!A1" display="TUBO DE PVC RIGIDO DE 25MM,SOLDAVEL,INCLUSIVE CONEXOES E EMENDAS,EXCLUSIVE ABERTURA E FECHAMENTO DE RASGO.FORNECIMENTO EASSENTAMENTO" xr:uid="{00000000-0004-0000-4700-000004000000}"/>
    <hyperlink ref="A2" location="'13.3.7'!A1" display="TUBO DE PVC RIGIDO DE 25MM,SOLDAVEL,INCLUSIVE CONEXOES E EMENDAS,EXCLUSIVE ABERTURA E FECHAMENTO DE RASGO.FORNECIMENTO EASSENTAMENTO" xr:uid="{00000000-0004-0000-4700-000005000000}"/>
    <hyperlink ref="B2" location="'13.3.7'!A1" display="TUBO DE PVC RIGIDO DE 25MM,SOLDAVEL,INCLUSIVE CONEXOES E EMENDAS,EXCLUSIVE ABERTURA E FECHAMENTO DE RASGO.FORNECIMENTO EASSENTAMENTO" xr:uid="{00000000-0004-0000-4700-000006000000}"/>
    <hyperlink ref="C2" location="'13.3.7'!A1" display="TUBO DE PVC RIGIDO DE 25MM,SOLDAVEL,INCLUSIVE CONEXOES E EMENDAS,EXCLUSIVE ABERTURA E FECHAMENTO DE RASGO.FORNECIMENTO EASSENTAMENTO" xr:uid="{00000000-0004-0000-4700-000007000000}"/>
    <hyperlink ref="D2" location="'13.3.7'!A1" display="TUBO DE PVC RIGIDO DE 25MM,SOLDAVEL,INCLUSIVE CONEXOES E EMENDAS,EXCLUSIVE ABERTURA E FECHAMENTO DE RASGO.FORNECIMENTO EASSENTAMENTO" xr:uid="{00000000-0004-0000-4700-000008000000}"/>
    <hyperlink ref="E2" location="'13.3.7'!A1" display="TUBO DE PVC RIGIDO DE 25MM,SOLDAVEL,INCLUSIVE CONEXOES E EMENDAS,EXCLUSIVE ABERTURA E FECHAMENTO DE RASGO.FORNECIMENTO EASSENTAMENTO" xr:uid="{00000000-0004-0000-4700-000009000000}"/>
    <hyperlink ref="A4" location="'13.3.7'!A1" display="Tubulação (Comprimento)" xr:uid="{00000000-0004-0000-4700-00000A000000}"/>
    <hyperlink ref="B4" location="'13.3.7'!A1" display="Tubulação (Comprimento)" xr:uid="{00000000-0004-0000-4700-00000B000000}"/>
    <hyperlink ref="C4" location="'13.3.7'!A1" display="Tubulação (Comprimento)" xr:uid="{00000000-0004-0000-4700-00000C000000}"/>
    <hyperlink ref="D4" location="'13.3.7'!A1" display="Tubulação (Comprimento)" xr:uid="{00000000-0004-0000-4700-00000D000000}"/>
    <hyperlink ref="E4" location="'13.3.7'!A1" display="Tubulação (Comprimento)" xr:uid="{00000000-0004-0000-4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48</v>
      </c>
      <c r="B1" s="20" t="s">
        <v>48</v>
      </c>
      <c r="C1" s="20" t="s">
        <v>48</v>
      </c>
      <c r="D1" s="20" t="s">
        <v>48</v>
      </c>
      <c r="E1" s="20" t="s">
        <v>48</v>
      </c>
    </row>
    <row r="2" spans="1:5">
      <c r="A2" s="20" t="s">
        <v>48</v>
      </c>
      <c r="B2" s="20" t="s">
        <v>48</v>
      </c>
      <c r="C2" s="20" t="s">
        <v>48</v>
      </c>
      <c r="D2" s="20" t="s">
        <v>48</v>
      </c>
      <c r="E2" s="20" t="s">
        <v>48</v>
      </c>
    </row>
    <row r="4" spans="1:5">
      <c r="A4" s="15" t="s">
        <v>298</v>
      </c>
      <c r="B4" s="15" t="s">
        <v>298</v>
      </c>
      <c r="C4" s="15" t="s">
        <v>298</v>
      </c>
      <c r="D4" s="15" t="s">
        <v>298</v>
      </c>
      <c r="E4" s="15" t="s">
        <v>298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295</v>
      </c>
      <c r="D7" s="8" t="s">
        <v>665</v>
      </c>
      <c r="E7" s="8">
        <v>2.8144447993195675E-2</v>
      </c>
    </row>
    <row r="8" spans="1:5" ht="24.75">
      <c r="A8" s="8" t="s">
        <v>399</v>
      </c>
      <c r="B8" s="8" t="s">
        <v>253</v>
      </c>
      <c r="C8" s="8" t="s">
        <v>295</v>
      </c>
      <c r="D8" s="8" t="s">
        <v>666</v>
      </c>
      <c r="E8" s="8">
        <v>0.44542407783420013</v>
      </c>
    </row>
    <row r="9" spans="1:5">
      <c r="A9" s="1" t="s">
        <v>246</v>
      </c>
      <c r="B9" s="1" t="s">
        <v>246</v>
      </c>
      <c r="C9" s="1">
        <f>SUBTOTAL(103,Elements13_3_81[Elemento])</f>
        <v>2</v>
      </c>
      <c r="D9" s="1" t="s">
        <v>246</v>
      </c>
      <c r="E9" s="1">
        <f>SUBTOTAL(109,Elements13_3_81[Totais:])</f>
        <v>0.47356852582739578</v>
      </c>
    </row>
  </sheetData>
  <mergeCells count="3">
    <mergeCell ref="A1:E2"/>
    <mergeCell ref="A4:E4"/>
    <mergeCell ref="A5:E5"/>
  </mergeCells>
  <hyperlinks>
    <hyperlink ref="A1" location="'13.3.8'!A1" display="TUBO DE PVC RIGIDO DE 50MM,SOLDAVEL,INCLUSIVE CONEXOES E EME NDAS,EXCLUSIVE ABERTURA E FECHAMENTO DE RASGO.FORNECIMENTO E ASSENTAMENTO" xr:uid="{00000000-0004-0000-4800-000000000000}"/>
    <hyperlink ref="B1" location="'13.3.8'!A1" display="TUBO DE PVC RIGIDO DE 50MM,SOLDAVEL,INCLUSIVE CONEXOES E EME NDAS,EXCLUSIVE ABERTURA E FECHAMENTO DE RASGO.FORNECIMENTO E ASSENTAMENTO" xr:uid="{00000000-0004-0000-4800-000001000000}"/>
    <hyperlink ref="C1" location="'13.3.8'!A1" display="TUBO DE PVC RIGIDO DE 50MM,SOLDAVEL,INCLUSIVE CONEXOES E EME NDAS,EXCLUSIVE ABERTURA E FECHAMENTO DE RASGO.FORNECIMENTO E ASSENTAMENTO" xr:uid="{00000000-0004-0000-4800-000002000000}"/>
    <hyperlink ref="D1" location="'13.3.8'!A1" display="TUBO DE PVC RIGIDO DE 50MM,SOLDAVEL,INCLUSIVE CONEXOES E EME NDAS,EXCLUSIVE ABERTURA E FECHAMENTO DE RASGO.FORNECIMENTO E ASSENTAMENTO" xr:uid="{00000000-0004-0000-4800-000003000000}"/>
    <hyperlink ref="E1" location="'13.3.8'!A1" display="TUBO DE PVC RIGIDO DE 50MM,SOLDAVEL,INCLUSIVE CONEXOES E EME NDAS,EXCLUSIVE ABERTURA E FECHAMENTO DE RASGO.FORNECIMENTO E ASSENTAMENTO" xr:uid="{00000000-0004-0000-4800-000004000000}"/>
    <hyperlink ref="A2" location="'13.3.8'!A1" display="TUBO DE PVC RIGIDO DE 50MM,SOLDAVEL,INCLUSIVE CONEXOES E EME NDAS,EXCLUSIVE ABERTURA E FECHAMENTO DE RASGO.FORNECIMENTO E ASSENTAMENTO" xr:uid="{00000000-0004-0000-4800-000005000000}"/>
    <hyperlink ref="B2" location="'13.3.8'!A1" display="TUBO DE PVC RIGIDO DE 50MM,SOLDAVEL,INCLUSIVE CONEXOES E EME NDAS,EXCLUSIVE ABERTURA E FECHAMENTO DE RASGO.FORNECIMENTO E ASSENTAMENTO" xr:uid="{00000000-0004-0000-4800-000006000000}"/>
    <hyperlink ref="C2" location="'13.3.8'!A1" display="TUBO DE PVC RIGIDO DE 50MM,SOLDAVEL,INCLUSIVE CONEXOES E EME NDAS,EXCLUSIVE ABERTURA E FECHAMENTO DE RASGO.FORNECIMENTO E ASSENTAMENTO" xr:uid="{00000000-0004-0000-4800-000007000000}"/>
    <hyperlink ref="D2" location="'13.3.8'!A1" display="TUBO DE PVC RIGIDO DE 50MM,SOLDAVEL,INCLUSIVE CONEXOES E EME NDAS,EXCLUSIVE ABERTURA E FECHAMENTO DE RASGO.FORNECIMENTO E ASSENTAMENTO" xr:uid="{00000000-0004-0000-4800-000008000000}"/>
    <hyperlink ref="E2" location="'13.3.8'!A1" display="TUBO DE PVC RIGIDO DE 50MM,SOLDAVEL,INCLUSIVE CONEXOES E EME NDAS,EXCLUSIVE ABERTURA E FECHAMENTO DE RASGO.FORNECIMENTO E ASSENTAMENTO" xr:uid="{00000000-0004-0000-4800-000009000000}"/>
    <hyperlink ref="A4" location="'13.3.8'!A1" display="Tubulação" xr:uid="{00000000-0004-0000-4800-00000A000000}"/>
    <hyperlink ref="B4" location="'13.3.8'!A1" display="Tubulação" xr:uid="{00000000-0004-0000-4800-00000B000000}"/>
    <hyperlink ref="C4" location="'13.3.8'!A1" display="Tubulação" xr:uid="{00000000-0004-0000-4800-00000C000000}"/>
    <hyperlink ref="D4" location="'13.3.8'!A1" display="Tubulação" xr:uid="{00000000-0004-0000-4800-00000D000000}"/>
    <hyperlink ref="E4" location="'13.3.8'!A1" display="Tubulação" xr:uid="{00000000-0004-0000-4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52</v>
      </c>
      <c r="B1" s="20" t="s">
        <v>52</v>
      </c>
      <c r="C1" s="20" t="s">
        <v>52</v>
      </c>
      <c r="D1" s="20" t="s">
        <v>52</v>
      </c>
      <c r="E1" s="20" t="s">
        <v>52</v>
      </c>
    </row>
    <row r="2" spans="1:5">
      <c r="A2" s="20" t="s">
        <v>52</v>
      </c>
      <c r="B2" s="20" t="s">
        <v>52</v>
      </c>
      <c r="C2" s="20" t="s">
        <v>52</v>
      </c>
      <c r="D2" s="20" t="s">
        <v>52</v>
      </c>
      <c r="E2" s="20" t="s">
        <v>52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667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SUBTOTAL(103,Elements13_3_91[Elemento])</f>
        <v>1</v>
      </c>
      <c r="D8" s="1" t="s">
        <v>246</v>
      </c>
      <c r="E8" s="1">
        <f>SUBTOTAL(109,Elements13_3_91[Totais:])</f>
        <v>1</v>
      </c>
    </row>
  </sheetData>
  <mergeCells count="3">
    <mergeCell ref="A1:E2"/>
    <mergeCell ref="A4:E4"/>
    <mergeCell ref="A5:E5"/>
  </mergeCells>
  <hyperlinks>
    <hyperlink ref="A1" location="'13.3.9'!A1" display="CAP PVC ESGOTO 100mm" xr:uid="{00000000-0004-0000-4900-000000000000}"/>
    <hyperlink ref="B1" location="'13.3.9'!A1" display="CAP PVC ESGOTO 100mm" xr:uid="{00000000-0004-0000-4900-000001000000}"/>
    <hyperlink ref="C1" location="'13.3.9'!A1" display="CAP PVC ESGOTO 100mm" xr:uid="{00000000-0004-0000-4900-000002000000}"/>
    <hyperlink ref="D1" location="'13.3.9'!A1" display="CAP PVC ESGOTO 100mm" xr:uid="{00000000-0004-0000-4900-000003000000}"/>
    <hyperlink ref="E1" location="'13.3.9'!A1" display="CAP PVC ESGOTO 100mm" xr:uid="{00000000-0004-0000-4900-000004000000}"/>
    <hyperlink ref="A2" location="'13.3.9'!A1" display="CAP PVC ESGOTO 100mm" xr:uid="{00000000-0004-0000-4900-000005000000}"/>
    <hyperlink ref="B2" location="'13.3.9'!A1" display="CAP PVC ESGOTO 100mm" xr:uid="{00000000-0004-0000-4900-000006000000}"/>
    <hyperlink ref="C2" location="'13.3.9'!A1" display="CAP PVC ESGOTO 100mm" xr:uid="{00000000-0004-0000-4900-000007000000}"/>
    <hyperlink ref="D2" location="'13.3.9'!A1" display="CAP PVC ESGOTO 100mm" xr:uid="{00000000-0004-0000-4900-000008000000}"/>
    <hyperlink ref="E2" location="'13.3.9'!A1" display="CAP PVC ESGOTO 100mm" xr:uid="{00000000-0004-0000-4900-000009000000}"/>
    <hyperlink ref="A4" location="'13.3.9'!A1" display="Conexões de tubo (Afastamento)" xr:uid="{00000000-0004-0000-4900-00000A000000}"/>
    <hyperlink ref="B4" location="'13.3.9'!A1" display="Conexões de tubo (Afastamento)" xr:uid="{00000000-0004-0000-4900-00000B000000}"/>
    <hyperlink ref="C4" location="'13.3.9'!A1" display="Conexões de tubo (Afastamento)" xr:uid="{00000000-0004-0000-4900-00000C000000}"/>
    <hyperlink ref="D4" location="'13.3.9'!A1" display="Conexões de tubo (Afastamento)" xr:uid="{00000000-0004-0000-4900-00000D000000}"/>
    <hyperlink ref="E4" location="'13.3.9'!A1" display="Conexões de tubo (Afastamento)" xr:uid="{00000000-0004-0000-4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E3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55</v>
      </c>
      <c r="B1" s="20" t="s">
        <v>55</v>
      </c>
      <c r="C1" s="20" t="s">
        <v>55</v>
      </c>
      <c r="D1" s="20" t="s">
        <v>55</v>
      </c>
      <c r="E1" s="20" t="s">
        <v>55</v>
      </c>
    </row>
    <row r="2" spans="1:5">
      <c r="A2" s="20" t="s">
        <v>55</v>
      </c>
      <c r="B2" s="20" t="s">
        <v>55</v>
      </c>
      <c r="C2" s="20" t="s">
        <v>55</v>
      </c>
      <c r="D2" s="20" t="s">
        <v>55</v>
      </c>
      <c r="E2" s="20" t="s">
        <v>55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295</v>
      </c>
      <c r="D7" s="8" t="s">
        <v>668</v>
      </c>
      <c r="E7" s="8">
        <v>0.17279999999999998</v>
      </c>
    </row>
    <row r="8" spans="1:5" ht="24.75">
      <c r="A8" s="8" t="s">
        <v>399</v>
      </c>
      <c r="B8" s="8" t="s">
        <v>253</v>
      </c>
      <c r="C8" s="8" t="s">
        <v>295</v>
      </c>
      <c r="D8" s="8" t="s">
        <v>669</v>
      </c>
      <c r="E8" s="8">
        <v>0.17279999999999998</v>
      </c>
    </row>
    <row r="9" spans="1:5" ht="24.75">
      <c r="A9" s="8" t="s">
        <v>399</v>
      </c>
      <c r="B9" s="8" t="s">
        <v>253</v>
      </c>
      <c r="C9" s="8" t="s">
        <v>295</v>
      </c>
      <c r="D9" s="8" t="s">
        <v>670</v>
      </c>
      <c r="E9" s="8">
        <v>0.17279999999999998</v>
      </c>
    </row>
    <row r="10" spans="1:5" ht="24.75">
      <c r="A10" s="8" t="s">
        <v>399</v>
      </c>
      <c r="B10" s="8" t="s">
        <v>253</v>
      </c>
      <c r="C10" s="8" t="s">
        <v>295</v>
      </c>
      <c r="D10" s="8" t="s">
        <v>671</v>
      </c>
      <c r="E10" s="8">
        <v>0.17279999999999998</v>
      </c>
    </row>
    <row r="11" spans="1:5" ht="24.75">
      <c r="A11" s="8" t="s">
        <v>399</v>
      </c>
      <c r="B11" s="8" t="s">
        <v>253</v>
      </c>
      <c r="C11" s="8" t="s">
        <v>295</v>
      </c>
      <c r="D11" s="8" t="s">
        <v>672</v>
      </c>
      <c r="E11" s="8">
        <v>0.17279999999999998</v>
      </c>
    </row>
    <row r="12" spans="1:5" ht="24.75">
      <c r="A12" s="8" t="s">
        <v>399</v>
      </c>
      <c r="B12" s="8" t="s">
        <v>253</v>
      </c>
      <c r="C12" s="8" t="s">
        <v>295</v>
      </c>
      <c r="D12" s="8" t="s">
        <v>673</v>
      </c>
      <c r="E12" s="8">
        <v>0.17279999999999998</v>
      </c>
    </row>
    <row r="13" spans="1:5" ht="24.75">
      <c r="A13" s="8" t="s">
        <v>399</v>
      </c>
      <c r="B13" s="8" t="s">
        <v>253</v>
      </c>
      <c r="C13" s="8" t="s">
        <v>295</v>
      </c>
      <c r="D13" s="8" t="s">
        <v>674</v>
      </c>
      <c r="E13" s="8">
        <v>0.17279999999999998</v>
      </c>
    </row>
    <row r="14" spans="1:5" ht="24.75">
      <c r="A14" s="8" t="s">
        <v>399</v>
      </c>
      <c r="B14" s="8" t="s">
        <v>253</v>
      </c>
      <c r="C14" s="8" t="s">
        <v>295</v>
      </c>
      <c r="D14" s="8" t="s">
        <v>675</v>
      </c>
      <c r="E14" s="8">
        <v>0.17279999999999998</v>
      </c>
    </row>
    <row r="15" spans="1:5" ht="24.75">
      <c r="A15" s="8" t="s">
        <v>399</v>
      </c>
      <c r="B15" s="8" t="s">
        <v>253</v>
      </c>
      <c r="C15" s="8" t="s">
        <v>295</v>
      </c>
      <c r="D15" s="8" t="s">
        <v>676</v>
      </c>
      <c r="E15" s="8">
        <v>0.16500000000000012</v>
      </c>
    </row>
    <row r="16" spans="1:5" ht="24.75">
      <c r="A16" s="8" t="s">
        <v>399</v>
      </c>
      <c r="B16" s="8" t="s">
        <v>253</v>
      </c>
      <c r="C16" s="8" t="s">
        <v>295</v>
      </c>
      <c r="D16" s="8" t="s">
        <v>677</v>
      </c>
      <c r="E16" s="8">
        <v>0.21499999999999986</v>
      </c>
    </row>
    <row r="17" spans="1:5" ht="24.75">
      <c r="A17" s="8" t="s">
        <v>399</v>
      </c>
      <c r="B17" s="8" t="s">
        <v>253</v>
      </c>
      <c r="C17" s="8" t="s">
        <v>295</v>
      </c>
      <c r="D17" s="8" t="s">
        <v>678</v>
      </c>
      <c r="E17" s="8">
        <v>0.19389999999999952</v>
      </c>
    </row>
    <row r="18" spans="1:5" ht="24.75">
      <c r="A18" s="8" t="s">
        <v>399</v>
      </c>
      <c r="B18" s="8" t="s">
        <v>253</v>
      </c>
      <c r="C18" s="8" t="s">
        <v>295</v>
      </c>
      <c r="D18" s="8" t="s">
        <v>679</v>
      </c>
      <c r="E18" s="8">
        <v>0.17500000000000002</v>
      </c>
    </row>
    <row r="19" spans="1:5" ht="24.75">
      <c r="A19" s="8" t="s">
        <v>399</v>
      </c>
      <c r="B19" s="8" t="s">
        <v>253</v>
      </c>
      <c r="C19" s="8" t="s">
        <v>295</v>
      </c>
      <c r="D19" s="8" t="s">
        <v>680</v>
      </c>
      <c r="E19" s="8">
        <v>0.17500000000000002</v>
      </c>
    </row>
    <row r="20" spans="1:5" ht="24.75">
      <c r="A20" s="8" t="s">
        <v>399</v>
      </c>
      <c r="B20" s="8" t="s">
        <v>253</v>
      </c>
      <c r="C20" s="8" t="s">
        <v>295</v>
      </c>
      <c r="D20" s="8" t="s">
        <v>681</v>
      </c>
      <c r="E20" s="8">
        <v>0.17500000000000002</v>
      </c>
    </row>
    <row r="21" spans="1:5" ht="24.75">
      <c r="A21" s="8" t="s">
        <v>399</v>
      </c>
      <c r="B21" s="8" t="s">
        <v>253</v>
      </c>
      <c r="C21" s="8" t="s">
        <v>295</v>
      </c>
      <c r="D21" s="8" t="s">
        <v>682</v>
      </c>
      <c r="E21" s="8">
        <v>0.16878143429431819</v>
      </c>
    </row>
    <row r="22" spans="1:5" ht="24.75">
      <c r="A22" s="8" t="s">
        <v>399</v>
      </c>
      <c r="B22" s="8" t="s">
        <v>253</v>
      </c>
      <c r="C22" s="8" t="s">
        <v>295</v>
      </c>
      <c r="D22" s="8" t="s">
        <v>683</v>
      </c>
      <c r="E22" s="8">
        <v>0.16878143429431819</v>
      </c>
    </row>
    <row r="23" spans="1:5" ht="24.75">
      <c r="A23" s="8" t="s">
        <v>399</v>
      </c>
      <c r="B23" s="8" t="s">
        <v>253</v>
      </c>
      <c r="C23" s="8" t="s">
        <v>295</v>
      </c>
      <c r="D23" s="8" t="s">
        <v>684</v>
      </c>
      <c r="E23" s="8">
        <v>0.16878143429431819</v>
      </c>
    </row>
    <row r="24" spans="1:5" ht="24.75">
      <c r="A24" s="8" t="s">
        <v>399</v>
      </c>
      <c r="B24" s="8" t="s">
        <v>253</v>
      </c>
      <c r="C24" s="8" t="s">
        <v>295</v>
      </c>
      <c r="D24" s="8" t="s">
        <v>685</v>
      </c>
      <c r="E24" s="8">
        <v>0.16878143429431819</v>
      </c>
    </row>
    <row r="25" spans="1:5" ht="24.75">
      <c r="A25" s="8" t="s">
        <v>399</v>
      </c>
      <c r="B25" s="8" t="s">
        <v>253</v>
      </c>
      <c r="C25" s="8" t="s">
        <v>295</v>
      </c>
      <c r="D25" s="8" t="s">
        <v>686</v>
      </c>
      <c r="E25" s="8">
        <v>0.17500000000000002</v>
      </c>
    </row>
    <row r="26" spans="1:5" ht="24.75">
      <c r="A26" s="8" t="s">
        <v>399</v>
      </c>
      <c r="B26" s="8" t="s">
        <v>253</v>
      </c>
      <c r="C26" s="8" t="s">
        <v>295</v>
      </c>
      <c r="D26" s="8" t="s">
        <v>687</v>
      </c>
      <c r="E26" s="8">
        <v>0.17500000000000002</v>
      </c>
    </row>
    <row r="27" spans="1:5" ht="24.75">
      <c r="A27" s="8" t="s">
        <v>399</v>
      </c>
      <c r="B27" s="8" t="s">
        <v>253</v>
      </c>
      <c r="C27" s="8" t="s">
        <v>295</v>
      </c>
      <c r="D27" s="8" t="s">
        <v>688</v>
      </c>
      <c r="E27" s="8">
        <v>0.16500438991319474</v>
      </c>
    </row>
    <row r="28" spans="1:5" ht="24.75">
      <c r="A28" s="8" t="s">
        <v>399</v>
      </c>
      <c r="B28" s="8" t="s">
        <v>253</v>
      </c>
      <c r="C28" s="8" t="s">
        <v>295</v>
      </c>
      <c r="D28" s="8" t="s">
        <v>689</v>
      </c>
      <c r="E28" s="8">
        <v>0.17000438991319361</v>
      </c>
    </row>
    <row r="29" spans="1:5" ht="24.75">
      <c r="A29" s="8" t="s">
        <v>399</v>
      </c>
      <c r="B29" s="8" t="s">
        <v>253</v>
      </c>
      <c r="C29" s="8" t="s">
        <v>295</v>
      </c>
      <c r="D29" s="8" t="s">
        <v>690</v>
      </c>
      <c r="E29" s="8">
        <v>0.17000438991319361</v>
      </c>
    </row>
    <row r="30" spans="1:5" ht="24.75">
      <c r="A30" s="8" t="s">
        <v>399</v>
      </c>
      <c r="B30" s="8" t="s">
        <v>253</v>
      </c>
      <c r="C30" s="8" t="s">
        <v>295</v>
      </c>
      <c r="D30" s="8" t="s">
        <v>691</v>
      </c>
      <c r="E30" s="8">
        <v>0.17500000000000002</v>
      </c>
    </row>
    <row r="31" spans="1:5" ht="24.75">
      <c r="A31" s="8" t="s">
        <v>399</v>
      </c>
      <c r="B31" s="8" t="s">
        <v>253</v>
      </c>
      <c r="C31" s="8" t="s">
        <v>295</v>
      </c>
      <c r="D31" s="8" t="s">
        <v>692</v>
      </c>
      <c r="E31" s="8">
        <v>0.17500000000000002</v>
      </c>
    </row>
    <row r="32" spans="1:5" ht="24.75">
      <c r="A32" s="8" t="s">
        <v>399</v>
      </c>
      <c r="B32" s="8" t="s">
        <v>253</v>
      </c>
      <c r="C32" s="8" t="s">
        <v>295</v>
      </c>
      <c r="D32" s="8" t="s">
        <v>693</v>
      </c>
      <c r="E32" s="8">
        <v>0.12779999999999964</v>
      </c>
    </row>
    <row r="33" spans="1:5" ht="24.75">
      <c r="A33" s="8" t="s">
        <v>399</v>
      </c>
      <c r="B33" s="8" t="s">
        <v>253</v>
      </c>
      <c r="C33" s="8" t="s">
        <v>295</v>
      </c>
      <c r="D33" s="8" t="s">
        <v>694</v>
      </c>
      <c r="E33" s="8">
        <v>0.17500000000000002</v>
      </c>
    </row>
    <row r="34" spans="1:5" ht="24.75">
      <c r="A34" s="8" t="s">
        <v>399</v>
      </c>
      <c r="B34" s="8" t="s">
        <v>253</v>
      </c>
      <c r="C34" s="8" t="s">
        <v>295</v>
      </c>
      <c r="D34" s="8" t="s">
        <v>695</v>
      </c>
      <c r="E34" s="8">
        <v>0.28000000000000025</v>
      </c>
    </row>
    <row r="35" spans="1:5" ht="24.75">
      <c r="A35" s="8" t="s">
        <v>399</v>
      </c>
      <c r="B35" s="8" t="s">
        <v>253</v>
      </c>
      <c r="C35" s="8" t="s">
        <v>295</v>
      </c>
      <c r="D35" s="8" t="s">
        <v>696</v>
      </c>
      <c r="E35" s="8">
        <v>0.10269999999999939</v>
      </c>
    </row>
    <row r="36" spans="1:5">
      <c r="A36" s="1" t="s">
        <v>246</v>
      </c>
      <c r="B36" s="1" t="s">
        <v>246</v>
      </c>
      <c r="C36" s="1">
        <f>SUBTOTAL(103,Elements13_3_101[Elemento])</f>
        <v>29</v>
      </c>
      <c r="D36" s="1" t="s">
        <v>246</v>
      </c>
      <c r="E36" s="1">
        <f>SUBTOTAL(109,Elements13_3_101[Totais:])</f>
        <v>5.0469389069168535</v>
      </c>
    </row>
  </sheetData>
  <mergeCells count="3">
    <mergeCell ref="A1:E2"/>
    <mergeCell ref="A4:E4"/>
    <mergeCell ref="A5:E5"/>
  </mergeCells>
  <hyperlinks>
    <hyperlink ref="A1" location="'13.3.10'!A1" display="TUBO, PVC, SOLDÁVEL, DN 32 MM, INSTALADO EM DRENO DE AR CONDICIONADO - FORNECIMENTO E INSTALAÇÃO. AF_08/2022" xr:uid="{00000000-0004-0000-4A00-000000000000}"/>
    <hyperlink ref="B1" location="'13.3.10'!A1" display="TUBO, PVC, SOLDÁVEL, DN 32 MM, INSTALADO EM DRENO DE AR CONDICIONADO - FORNECIMENTO E INSTALAÇÃO. AF_08/2022" xr:uid="{00000000-0004-0000-4A00-000001000000}"/>
    <hyperlink ref="C1" location="'13.3.10'!A1" display="TUBO, PVC, SOLDÁVEL, DN 32 MM, INSTALADO EM DRENO DE AR CONDICIONADO - FORNECIMENTO E INSTALAÇÃO. AF_08/2022" xr:uid="{00000000-0004-0000-4A00-000002000000}"/>
    <hyperlink ref="D1" location="'13.3.10'!A1" display="TUBO, PVC, SOLDÁVEL, DN 32 MM, INSTALADO EM DRENO DE AR CONDICIONADO - FORNECIMENTO E INSTALAÇÃO. AF_08/2022" xr:uid="{00000000-0004-0000-4A00-000003000000}"/>
    <hyperlink ref="E1" location="'13.3.10'!A1" display="TUBO, PVC, SOLDÁVEL, DN 32 MM, INSTALADO EM DRENO DE AR CONDICIONADO - FORNECIMENTO E INSTALAÇÃO. AF_08/2022" xr:uid="{00000000-0004-0000-4A00-000004000000}"/>
    <hyperlink ref="A2" location="'13.3.10'!A1" display="TUBO, PVC, SOLDÁVEL, DN 32 MM, INSTALADO EM DRENO DE AR CONDICIONADO - FORNECIMENTO E INSTALAÇÃO. AF_08/2022" xr:uid="{00000000-0004-0000-4A00-000005000000}"/>
    <hyperlink ref="B2" location="'13.3.10'!A1" display="TUBO, PVC, SOLDÁVEL, DN 32 MM, INSTALADO EM DRENO DE AR CONDICIONADO - FORNECIMENTO E INSTALAÇÃO. AF_08/2022" xr:uid="{00000000-0004-0000-4A00-000006000000}"/>
    <hyperlink ref="C2" location="'13.3.10'!A1" display="TUBO, PVC, SOLDÁVEL, DN 32 MM, INSTALADO EM DRENO DE AR CONDICIONADO - FORNECIMENTO E INSTALAÇÃO. AF_08/2022" xr:uid="{00000000-0004-0000-4A00-000007000000}"/>
    <hyperlink ref="D2" location="'13.3.10'!A1" display="TUBO, PVC, SOLDÁVEL, DN 32 MM, INSTALADO EM DRENO DE AR CONDICIONADO - FORNECIMENTO E INSTALAÇÃO. AF_08/2022" xr:uid="{00000000-0004-0000-4A00-000008000000}"/>
    <hyperlink ref="E2" location="'13.3.10'!A1" display="TUBO, PVC, SOLDÁVEL, DN 32 MM, INSTALADO EM DRENO DE AR CONDICIONADO - FORNECIMENTO E INSTALAÇÃO. AF_08/2022" xr:uid="{00000000-0004-0000-4A00-000009000000}"/>
    <hyperlink ref="A4" location="'13.3.10'!A1" display="Tubulação (Comprimento)" xr:uid="{00000000-0004-0000-4A00-00000A000000}"/>
    <hyperlink ref="B4" location="'13.3.10'!A1" display="Tubulação (Comprimento)" xr:uid="{00000000-0004-0000-4A00-00000B000000}"/>
    <hyperlink ref="C4" location="'13.3.10'!A1" display="Tubulação (Comprimento)" xr:uid="{00000000-0004-0000-4A00-00000C000000}"/>
    <hyperlink ref="D4" location="'13.3.10'!A1" display="Tubulação (Comprimento)" xr:uid="{00000000-0004-0000-4A00-00000D000000}"/>
    <hyperlink ref="E4" location="'13.3.10'!A1" display="Tubulação (Comprimento)" xr:uid="{00000000-0004-0000-4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E1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59</v>
      </c>
      <c r="B1" s="20" t="s">
        <v>59</v>
      </c>
      <c r="C1" s="20" t="s">
        <v>59</v>
      </c>
      <c r="D1" s="20" t="s">
        <v>59</v>
      </c>
      <c r="E1" s="20" t="s">
        <v>59</v>
      </c>
    </row>
    <row r="2" spans="1:5">
      <c r="A2" s="20" t="s">
        <v>59</v>
      </c>
      <c r="B2" s="20" t="s">
        <v>59</v>
      </c>
      <c r="C2" s="20" t="s">
        <v>59</v>
      </c>
      <c r="D2" s="20" t="s">
        <v>59</v>
      </c>
      <c r="E2" s="20" t="s">
        <v>59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697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698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699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700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701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702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703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704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705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706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707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708</v>
      </c>
      <c r="E18" s="8">
        <v>1</v>
      </c>
    </row>
    <row r="19" spans="1:5">
      <c r="A19" s="1" t="s">
        <v>246</v>
      </c>
      <c r="B19" s="1" t="s">
        <v>246</v>
      </c>
      <c r="C19" s="1">
        <f>SUBTOTAL(103,Elements13_3_111[Elemento])</f>
        <v>12</v>
      </c>
      <c r="D19" s="1" t="s">
        <v>246</v>
      </c>
      <c r="E19" s="1">
        <f>SUBTOTAL(109,Elements13_3_111[Totais:])</f>
        <v>12</v>
      </c>
    </row>
  </sheetData>
  <mergeCells count="3">
    <mergeCell ref="A1:E2"/>
    <mergeCell ref="A4:E4"/>
    <mergeCell ref="A5:E5"/>
  </mergeCells>
  <hyperlinks>
    <hyperlink ref="A1" location="'13.3.11'!A1" display="JOELHO 45 GRAUS, PVC, SERIE NORMAL, ESGOTO PREDIAL, DN 100 MM, JUNTA ELÁSTICA, FORNECIDO E INSTALADO EM RAMAL DE DESCARGA OU RAMAL DE ESGOTO SANITÁRIO. AF_08/2022" xr:uid="{00000000-0004-0000-4B00-000000000000}"/>
    <hyperlink ref="B1" location="'13.3.11'!A1" display="JOELHO 45 GRAUS, PVC, SERIE NORMAL, ESGOTO PREDIAL, DN 100 MM, JUNTA ELÁSTICA, FORNECIDO E INSTALADO EM RAMAL DE DESCARGA OU RAMAL DE ESGOTO SANITÁRIO. AF_08/2022" xr:uid="{00000000-0004-0000-4B00-000001000000}"/>
    <hyperlink ref="C1" location="'13.3.11'!A1" display="JOELHO 45 GRAUS, PVC, SERIE NORMAL, ESGOTO PREDIAL, DN 100 MM, JUNTA ELÁSTICA, FORNECIDO E INSTALADO EM RAMAL DE DESCARGA OU RAMAL DE ESGOTO SANITÁRIO. AF_08/2022" xr:uid="{00000000-0004-0000-4B00-000002000000}"/>
    <hyperlink ref="D1" location="'13.3.11'!A1" display="JOELHO 45 GRAUS, PVC, SERIE NORMAL, ESGOTO PREDIAL, DN 100 MM, JUNTA ELÁSTICA, FORNECIDO E INSTALADO EM RAMAL DE DESCARGA OU RAMAL DE ESGOTO SANITÁRIO. AF_08/2022" xr:uid="{00000000-0004-0000-4B00-000003000000}"/>
    <hyperlink ref="E1" location="'13.3.11'!A1" display="JOELHO 45 GRAUS, PVC, SERIE NORMAL, ESGOTO PREDIAL, DN 100 MM, JUNTA ELÁSTICA, FORNECIDO E INSTALADO EM RAMAL DE DESCARGA OU RAMAL DE ESGOTO SANITÁRIO. AF_08/2022" xr:uid="{00000000-0004-0000-4B00-000004000000}"/>
    <hyperlink ref="A2" location="'13.3.11'!A1" display="JOELHO 45 GRAUS, PVC, SERIE NORMAL, ESGOTO PREDIAL, DN 100 MM, JUNTA ELÁSTICA, FORNECIDO E INSTALADO EM RAMAL DE DESCARGA OU RAMAL DE ESGOTO SANITÁRIO. AF_08/2022" xr:uid="{00000000-0004-0000-4B00-000005000000}"/>
    <hyperlink ref="B2" location="'13.3.11'!A1" display="JOELHO 45 GRAUS, PVC, SERIE NORMAL, ESGOTO PREDIAL, DN 100 MM, JUNTA ELÁSTICA, FORNECIDO E INSTALADO EM RAMAL DE DESCARGA OU RAMAL DE ESGOTO SANITÁRIO. AF_08/2022" xr:uid="{00000000-0004-0000-4B00-000006000000}"/>
    <hyperlink ref="C2" location="'13.3.11'!A1" display="JOELHO 45 GRAUS, PVC, SERIE NORMAL, ESGOTO PREDIAL, DN 100 MM, JUNTA ELÁSTICA, FORNECIDO E INSTALADO EM RAMAL DE DESCARGA OU RAMAL DE ESGOTO SANITÁRIO. AF_08/2022" xr:uid="{00000000-0004-0000-4B00-000007000000}"/>
    <hyperlink ref="D2" location="'13.3.11'!A1" display="JOELHO 45 GRAUS, PVC, SERIE NORMAL, ESGOTO PREDIAL, DN 100 MM, JUNTA ELÁSTICA, FORNECIDO E INSTALADO EM RAMAL DE DESCARGA OU RAMAL DE ESGOTO SANITÁRIO. AF_08/2022" xr:uid="{00000000-0004-0000-4B00-000008000000}"/>
    <hyperlink ref="E2" location="'13.3.11'!A1" display="JOELHO 45 GRAUS, PVC, SERIE NORMAL, ESGOTO PREDIAL, DN 100 MM, JUNTA ELÁSTICA, FORNECIDO E INSTALADO EM RAMAL DE DESCARGA OU RAMAL DE ESGOTO SANITÁRIO. AF_08/2022" xr:uid="{00000000-0004-0000-4B00-000009000000}"/>
    <hyperlink ref="A4" location="'13.3.11'!A1" display="Conexões de tubo (Afastamento)" xr:uid="{00000000-0004-0000-4B00-00000A000000}"/>
    <hyperlink ref="B4" location="'13.3.11'!A1" display="Conexões de tubo (Afastamento)" xr:uid="{00000000-0004-0000-4B00-00000B000000}"/>
    <hyperlink ref="C4" location="'13.3.11'!A1" display="Conexões de tubo (Afastamento)" xr:uid="{00000000-0004-0000-4B00-00000C000000}"/>
    <hyperlink ref="D4" location="'13.3.11'!A1" display="Conexões de tubo (Afastamento)" xr:uid="{00000000-0004-0000-4B00-00000D000000}"/>
    <hyperlink ref="E4" location="'13.3.11'!A1" display="Conexões de tubo (Afastamento)" xr:uid="{00000000-0004-0000-4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E2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63</v>
      </c>
      <c r="B1" s="20" t="s">
        <v>63</v>
      </c>
      <c r="C1" s="20" t="s">
        <v>63</v>
      </c>
      <c r="D1" s="20" t="s">
        <v>63</v>
      </c>
      <c r="E1" s="20" t="s">
        <v>63</v>
      </c>
    </row>
    <row r="2" spans="1:5">
      <c r="A2" s="20" t="s">
        <v>63</v>
      </c>
      <c r="B2" s="20" t="s">
        <v>63</v>
      </c>
      <c r="C2" s="20" t="s">
        <v>63</v>
      </c>
      <c r="D2" s="20" t="s">
        <v>63</v>
      </c>
      <c r="E2" s="20" t="s">
        <v>63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709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710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711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712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713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714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715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716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717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718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719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720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721</v>
      </c>
      <c r="E19" s="8">
        <v>1</v>
      </c>
    </row>
    <row r="20" spans="1:5">
      <c r="A20" s="1" t="s">
        <v>246</v>
      </c>
      <c r="B20" s="1" t="s">
        <v>246</v>
      </c>
      <c r="C20" s="1">
        <f>SUBTOTAL(103,Elements13_3_121[Elemento])</f>
        <v>13</v>
      </c>
      <c r="D20" s="1" t="s">
        <v>246</v>
      </c>
      <c r="E20" s="1">
        <f>SUBTOTAL(109,Elements13_3_121[Totais:])</f>
        <v>13</v>
      </c>
    </row>
  </sheetData>
  <mergeCells count="3">
    <mergeCell ref="A1:E2"/>
    <mergeCell ref="A4:E4"/>
    <mergeCell ref="A5:E5"/>
  </mergeCells>
  <hyperlinks>
    <hyperlink ref="A1" location="'13.3.12'!A1" display="TERMINAL DE VENTILAÇÃO, PVC, SÉRIE NORMAL, ESGOTO PREDIAL, DN 50 MM, JUNTA SOLDÁVEL, FORNECIDO E INSTALADO EM PRUMADA DE ESGOTO SANITÁRIO OU VENTILAÇÃO. AF_08/2022" xr:uid="{00000000-0004-0000-4C00-000000000000}"/>
    <hyperlink ref="B1" location="'13.3.12'!A1" display="TERMINAL DE VENTILAÇÃO, PVC, SÉRIE NORMAL, ESGOTO PREDIAL, DN 50 MM, JUNTA SOLDÁVEL, FORNECIDO E INSTALADO EM PRUMADA DE ESGOTO SANITÁRIO OU VENTILAÇÃO. AF_08/2022" xr:uid="{00000000-0004-0000-4C00-000001000000}"/>
    <hyperlink ref="C1" location="'13.3.12'!A1" display="TERMINAL DE VENTILAÇÃO, PVC, SÉRIE NORMAL, ESGOTO PREDIAL, DN 50 MM, JUNTA SOLDÁVEL, FORNECIDO E INSTALADO EM PRUMADA DE ESGOTO SANITÁRIO OU VENTILAÇÃO. AF_08/2022" xr:uid="{00000000-0004-0000-4C00-000002000000}"/>
    <hyperlink ref="D1" location="'13.3.12'!A1" display="TERMINAL DE VENTILAÇÃO, PVC, SÉRIE NORMAL, ESGOTO PREDIAL, DN 50 MM, JUNTA SOLDÁVEL, FORNECIDO E INSTALADO EM PRUMADA DE ESGOTO SANITÁRIO OU VENTILAÇÃO. AF_08/2022" xr:uid="{00000000-0004-0000-4C00-000003000000}"/>
    <hyperlink ref="E1" location="'13.3.12'!A1" display="TERMINAL DE VENTILAÇÃO, PVC, SÉRIE NORMAL, ESGOTO PREDIAL, DN 50 MM, JUNTA SOLDÁVEL, FORNECIDO E INSTALADO EM PRUMADA DE ESGOTO SANITÁRIO OU VENTILAÇÃO. AF_08/2022" xr:uid="{00000000-0004-0000-4C00-000004000000}"/>
    <hyperlink ref="A2" location="'13.3.12'!A1" display="TERMINAL DE VENTILAÇÃO, PVC, SÉRIE NORMAL, ESGOTO PREDIAL, DN 50 MM, JUNTA SOLDÁVEL, FORNECIDO E INSTALADO EM PRUMADA DE ESGOTO SANITÁRIO OU VENTILAÇÃO. AF_08/2022" xr:uid="{00000000-0004-0000-4C00-000005000000}"/>
    <hyperlink ref="B2" location="'13.3.12'!A1" display="TERMINAL DE VENTILAÇÃO, PVC, SÉRIE NORMAL, ESGOTO PREDIAL, DN 50 MM, JUNTA SOLDÁVEL, FORNECIDO E INSTALADO EM PRUMADA DE ESGOTO SANITÁRIO OU VENTILAÇÃO. AF_08/2022" xr:uid="{00000000-0004-0000-4C00-000006000000}"/>
    <hyperlink ref="C2" location="'13.3.12'!A1" display="TERMINAL DE VENTILAÇÃO, PVC, SÉRIE NORMAL, ESGOTO PREDIAL, DN 50 MM, JUNTA SOLDÁVEL, FORNECIDO E INSTALADO EM PRUMADA DE ESGOTO SANITÁRIO OU VENTILAÇÃO. AF_08/2022" xr:uid="{00000000-0004-0000-4C00-000007000000}"/>
    <hyperlink ref="D2" location="'13.3.12'!A1" display="TERMINAL DE VENTILAÇÃO, PVC, SÉRIE NORMAL, ESGOTO PREDIAL, DN 50 MM, JUNTA SOLDÁVEL, FORNECIDO E INSTALADO EM PRUMADA DE ESGOTO SANITÁRIO OU VENTILAÇÃO. AF_08/2022" xr:uid="{00000000-0004-0000-4C00-000008000000}"/>
    <hyperlink ref="E2" location="'13.3.12'!A1" display="TERMINAL DE VENTILAÇÃO, PVC, SÉRIE NORMAL, ESGOTO PREDIAL, DN 50 MM, JUNTA SOLDÁVEL, FORNECIDO E INSTALADO EM PRUMADA DE ESGOTO SANITÁRIO OU VENTILAÇÃO. AF_08/2022" xr:uid="{00000000-0004-0000-4C00-000009000000}"/>
    <hyperlink ref="A4" location="'13.3.12'!A1" display="Conexões de tubo" xr:uid="{00000000-0004-0000-4C00-00000A000000}"/>
    <hyperlink ref="B4" location="'13.3.12'!A1" display="Conexões de tubo" xr:uid="{00000000-0004-0000-4C00-00000B000000}"/>
    <hyperlink ref="C4" location="'13.3.12'!A1" display="Conexões de tubo" xr:uid="{00000000-0004-0000-4C00-00000C000000}"/>
    <hyperlink ref="D4" location="'13.3.12'!A1" display="Conexões de tubo" xr:uid="{00000000-0004-0000-4C00-00000D000000}"/>
    <hyperlink ref="E4" location="'13.3.12'!A1" display="Conexões de tubo" xr:uid="{00000000-0004-0000-4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67</v>
      </c>
      <c r="B1" s="20" t="s">
        <v>67</v>
      </c>
      <c r="C1" s="20" t="s">
        <v>67</v>
      </c>
      <c r="D1" s="20" t="s">
        <v>67</v>
      </c>
      <c r="E1" s="20" t="s">
        <v>67</v>
      </c>
    </row>
    <row r="2" spans="1:5">
      <c r="A2" s="20" t="s">
        <v>67</v>
      </c>
      <c r="B2" s="20" t="s">
        <v>67</v>
      </c>
      <c r="C2" s="20" t="s">
        <v>67</v>
      </c>
      <c r="D2" s="20" t="s">
        <v>67</v>
      </c>
      <c r="E2" s="20" t="s">
        <v>67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722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723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724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725</v>
      </c>
      <c r="E10" s="8">
        <v>1</v>
      </c>
    </row>
    <row r="11" spans="1:5">
      <c r="A11" s="1" t="s">
        <v>246</v>
      </c>
      <c r="B11" s="1" t="s">
        <v>246</v>
      </c>
      <c r="C11" s="1">
        <f>SUBTOTAL(103,Elements13_3_131[Elemento])</f>
        <v>4</v>
      </c>
      <c r="D11" s="1" t="s">
        <v>246</v>
      </c>
      <c r="E11" s="1">
        <f>SUBTOTAL(109,Elements13_3_131[Totais:])</f>
        <v>4</v>
      </c>
    </row>
  </sheetData>
  <mergeCells count="3">
    <mergeCell ref="A1:E2"/>
    <mergeCell ref="A4:E4"/>
    <mergeCell ref="A5:E5"/>
  </mergeCells>
  <hyperlinks>
    <hyperlink ref="A1" location="'13.3.13'!A1" display="TERMINAL DE VENTILAÇÃO, PVC, SÉRIE NORMAL, ESGOTO PREDIAL, DN 75 MM, JUNTA SOLDÁVEL, FORNECIDO E INSTALADO EM PRUMADA DE ESGOTO SANITÁRIO OU VENTILAÇÃO. AF_08/2022" xr:uid="{00000000-0004-0000-4D00-000000000000}"/>
    <hyperlink ref="B1" location="'13.3.13'!A1" display="TERMINAL DE VENTILAÇÃO, PVC, SÉRIE NORMAL, ESGOTO PREDIAL, DN 75 MM, JUNTA SOLDÁVEL, FORNECIDO E INSTALADO EM PRUMADA DE ESGOTO SANITÁRIO OU VENTILAÇÃO. AF_08/2022" xr:uid="{00000000-0004-0000-4D00-000001000000}"/>
    <hyperlink ref="C1" location="'13.3.13'!A1" display="TERMINAL DE VENTILAÇÃO, PVC, SÉRIE NORMAL, ESGOTO PREDIAL, DN 75 MM, JUNTA SOLDÁVEL, FORNECIDO E INSTALADO EM PRUMADA DE ESGOTO SANITÁRIO OU VENTILAÇÃO. AF_08/2022" xr:uid="{00000000-0004-0000-4D00-000002000000}"/>
    <hyperlink ref="D1" location="'13.3.13'!A1" display="TERMINAL DE VENTILAÇÃO, PVC, SÉRIE NORMAL, ESGOTO PREDIAL, DN 75 MM, JUNTA SOLDÁVEL, FORNECIDO E INSTALADO EM PRUMADA DE ESGOTO SANITÁRIO OU VENTILAÇÃO. AF_08/2022" xr:uid="{00000000-0004-0000-4D00-000003000000}"/>
    <hyperlink ref="E1" location="'13.3.13'!A1" display="TERMINAL DE VENTILAÇÃO, PVC, SÉRIE NORMAL, ESGOTO PREDIAL, DN 75 MM, JUNTA SOLDÁVEL, FORNECIDO E INSTALADO EM PRUMADA DE ESGOTO SANITÁRIO OU VENTILAÇÃO. AF_08/2022" xr:uid="{00000000-0004-0000-4D00-000004000000}"/>
    <hyperlink ref="A2" location="'13.3.13'!A1" display="TERMINAL DE VENTILAÇÃO, PVC, SÉRIE NORMAL, ESGOTO PREDIAL, DN 75 MM, JUNTA SOLDÁVEL, FORNECIDO E INSTALADO EM PRUMADA DE ESGOTO SANITÁRIO OU VENTILAÇÃO. AF_08/2022" xr:uid="{00000000-0004-0000-4D00-000005000000}"/>
    <hyperlink ref="B2" location="'13.3.13'!A1" display="TERMINAL DE VENTILAÇÃO, PVC, SÉRIE NORMAL, ESGOTO PREDIAL, DN 75 MM, JUNTA SOLDÁVEL, FORNECIDO E INSTALADO EM PRUMADA DE ESGOTO SANITÁRIO OU VENTILAÇÃO. AF_08/2022" xr:uid="{00000000-0004-0000-4D00-000006000000}"/>
    <hyperlink ref="C2" location="'13.3.13'!A1" display="TERMINAL DE VENTILAÇÃO, PVC, SÉRIE NORMAL, ESGOTO PREDIAL, DN 75 MM, JUNTA SOLDÁVEL, FORNECIDO E INSTALADO EM PRUMADA DE ESGOTO SANITÁRIO OU VENTILAÇÃO. AF_08/2022" xr:uid="{00000000-0004-0000-4D00-000007000000}"/>
    <hyperlink ref="D2" location="'13.3.13'!A1" display="TERMINAL DE VENTILAÇÃO, PVC, SÉRIE NORMAL, ESGOTO PREDIAL, DN 75 MM, JUNTA SOLDÁVEL, FORNECIDO E INSTALADO EM PRUMADA DE ESGOTO SANITÁRIO OU VENTILAÇÃO. AF_08/2022" xr:uid="{00000000-0004-0000-4D00-000008000000}"/>
    <hyperlink ref="E2" location="'13.3.13'!A1" display="TERMINAL DE VENTILAÇÃO, PVC, SÉRIE NORMAL, ESGOTO PREDIAL, DN 75 MM, JUNTA SOLDÁVEL, FORNECIDO E INSTALADO EM PRUMADA DE ESGOTO SANITÁRIO OU VENTILAÇÃO. AF_08/2022" xr:uid="{00000000-0004-0000-4D00-000009000000}"/>
    <hyperlink ref="A4" location="'13.3.13'!A1" display="Conexões de tubo (Afastamento)" xr:uid="{00000000-0004-0000-4D00-00000A000000}"/>
    <hyperlink ref="B4" location="'13.3.13'!A1" display="Conexões de tubo (Afastamento)" xr:uid="{00000000-0004-0000-4D00-00000B000000}"/>
    <hyperlink ref="C4" location="'13.3.13'!A1" display="Conexões de tubo (Afastamento)" xr:uid="{00000000-0004-0000-4D00-00000C000000}"/>
    <hyperlink ref="D4" location="'13.3.13'!A1" display="Conexões de tubo (Afastamento)" xr:uid="{00000000-0004-0000-4D00-00000D000000}"/>
    <hyperlink ref="E4" location="'13.3.13'!A1" display="Conexões de tubo (Afastamento)" xr:uid="{00000000-0004-0000-4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71</v>
      </c>
      <c r="B1" s="20" t="s">
        <v>71</v>
      </c>
      <c r="C1" s="20" t="s">
        <v>71</v>
      </c>
      <c r="D1" s="20" t="s">
        <v>71</v>
      </c>
      <c r="E1" s="20" t="s">
        <v>71</v>
      </c>
    </row>
    <row r="2" spans="1:5">
      <c r="A2" s="20" t="s">
        <v>71</v>
      </c>
      <c r="B2" s="20" t="s">
        <v>71</v>
      </c>
      <c r="C2" s="20" t="s">
        <v>71</v>
      </c>
      <c r="D2" s="20" t="s">
        <v>71</v>
      </c>
      <c r="E2" s="20" t="s">
        <v>71</v>
      </c>
    </row>
    <row r="4" spans="1:5">
      <c r="A4" s="15" t="s">
        <v>312</v>
      </c>
      <c r="B4" s="15" t="s">
        <v>312</v>
      </c>
      <c r="C4" s="15" t="s">
        <v>312</v>
      </c>
      <c r="D4" s="15" t="s">
        <v>312</v>
      </c>
      <c r="E4" s="15" t="s">
        <v>312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315</v>
      </c>
      <c r="D7" s="8" t="s">
        <v>726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SUBTOTAL(103,Elements13_3_141[Elemento])</f>
        <v>1</v>
      </c>
      <c r="D8" s="1" t="s">
        <v>246</v>
      </c>
      <c r="E8" s="1">
        <f>SUBTOTAL(109,Elements13_3_141[Totais:])</f>
        <v>1</v>
      </c>
    </row>
  </sheetData>
  <mergeCells count="3">
    <mergeCell ref="A1:E2"/>
    <mergeCell ref="A4:E4"/>
    <mergeCell ref="A5:E5"/>
  </mergeCells>
  <hyperlinks>
    <hyperlink ref="A1" location="'13.3.14'!A1" display="REGISTRO DE ESFERA, PVC, SOLDÁVEL, COM VOLANTE, DN  60 MM - FORNECIMENTO E INSTALAÇÃO. AF_08/2021" xr:uid="{00000000-0004-0000-4E00-000000000000}"/>
    <hyperlink ref="B1" location="'13.3.14'!A1" display="REGISTRO DE ESFERA, PVC, SOLDÁVEL, COM VOLANTE, DN  60 MM - FORNECIMENTO E INSTALAÇÃO. AF_08/2021" xr:uid="{00000000-0004-0000-4E00-000001000000}"/>
    <hyperlink ref="C1" location="'13.3.14'!A1" display="REGISTRO DE ESFERA, PVC, SOLDÁVEL, COM VOLANTE, DN  60 MM - FORNECIMENTO E INSTALAÇÃO. AF_08/2021" xr:uid="{00000000-0004-0000-4E00-000002000000}"/>
    <hyperlink ref="D1" location="'13.3.14'!A1" display="REGISTRO DE ESFERA, PVC, SOLDÁVEL, COM VOLANTE, DN  60 MM - FORNECIMENTO E INSTALAÇÃO. AF_08/2021" xr:uid="{00000000-0004-0000-4E00-000003000000}"/>
    <hyperlink ref="E1" location="'13.3.14'!A1" display="REGISTRO DE ESFERA, PVC, SOLDÁVEL, COM VOLANTE, DN  60 MM - FORNECIMENTO E INSTALAÇÃO. AF_08/2021" xr:uid="{00000000-0004-0000-4E00-000004000000}"/>
    <hyperlink ref="A2" location="'13.3.14'!A1" display="REGISTRO DE ESFERA, PVC, SOLDÁVEL, COM VOLANTE, DN  60 MM - FORNECIMENTO E INSTALAÇÃO. AF_08/2021" xr:uid="{00000000-0004-0000-4E00-000005000000}"/>
    <hyperlink ref="B2" location="'13.3.14'!A1" display="REGISTRO DE ESFERA, PVC, SOLDÁVEL, COM VOLANTE, DN  60 MM - FORNECIMENTO E INSTALAÇÃO. AF_08/2021" xr:uid="{00000000-0004-0000-4E00-000006000000}"/>
    <hyperlink ref="C2" location="'13.3.14'!A1" display="REGISTRO DE ESFERA, PVC, SOLDÁVEL, COM VOLANTE, DN  60 MM - FORNECIMENTO E INSTALAÇÃO. AF_08/2021" xr:uid="{00000000-0004-0000-4E00-000007000000}"/>
    <hyperlink ref="D2" location="'13.3.14'!A1" display="REGISTRO DE ESFERA, PVC, SOLDÁVEL, COM VOLANTE, DN  60 MM - FORNECIMENTO E INSTALAÇÃO. AF_08/2021" xr:uid="{00000000-0004-0000-4E00-000008000000}"/>
    <hyperlink ref="E2" location="'13.3.14'!A1" display="REGISTRO DE ESFERA, PVC, SOLDÁVEL, COM VOLANTE, DN  60 MM - FORNECIMENTO E INSTALAÇÃO. AF_08/2021" xr:uid="{00000000-0004-0000-4E00-000009000000}"/>
    <hyperlink ref="A4" location="'13.3.14'!A1" display="Acessórios do tubo (Altura 1)" xr:uid="{00000000-0004-0000-4E00-00000A000000}"/>
    <hyperlink ref="B4" location="'13.3.14'!A1" display="Acessórios do tubo (Altura 1)" xr:uid="{00000000-0004-0000-4E00-00000B000000}"/>
    <hyperlink ref="C4" location="'13.3.14'!A1" display="Acessórios do tubo (Altura 1)" xr:uid="{00000000-0004-0000-4E00-00000C000000}"/>
    <hyperlink ref="D4" location="'13.3.14'!A1" display="Acessórios do tubo (Altura 1)" xr:uid="{00000000-0004-0000-4E00-00000D000000}"/>
    <hyperlink ref="E4" location="'13.3.14'!A1" display="Acessórios do tubo (Altura 1)" xr:uid="{00000000-0004-0000-4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>
      <c r="A2" s="5" t="s">
        <v>37</v>
      </c>
      <c r="B2" s="5" t="s">
        <v>38</v>
      </c>
      <c r="C2" s="5" t="s">
        <v>25</v>
      </c>
      <c r="D2" s="5" t="s">
        <v>39</v>
      </c>
      <c r="E2" s="5" t="s">
        <v>16</v>
      </c>
      <c r="F2" s="5" t="s">
        <v>288</v>
      </c>
      <c r="G2" s="5">
        <v>1347.3466182152345</v>
      </c>
      <c r="H2" s="5">
        <v>1614.7949219309587</v>
      </c>
      <c r="I2" s="5">
        <v>35525.488282481092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22</v>
      </c>
      <c r="D8" s="8" t="s">
        <v>289</v>
      </c>
      <c r="E8" s="8">
        <v>22</v>
      </c>
    </row>
    <row r="9" spans="1:9">
      <c r="A9" s="8" t="s">
        <v>246</v>
      </c>
      <c r="B9" s="8" t="s">
        <v>246</v>
      </c>
      <c r="C9" s="8">
        <f>SUBTOTAL(109,Criteria_Summary13.3.6[Elementos])</f>
        <v>22</v>
      </c>
      <c r="D9" s="8" t="s">
        <v>246</v>
      </c>
      <c r="E9" s="8">
        <f>SUBTOTAL(109,Criteria_Summary13.3.6[Total])</f>
        <v>22</v>
      </c>
    </row>
    <row r="10" spans="1:9">
      <c r="A10" s="9" t="s">
        <v>247</v>
      </c>
      <c r="B10" s="9">
        <v>0</v>
      </c>
      <c r="C10" s="10"/>
      <c r="D10" s="10"/>
      <c r="E10" s="9">
        <v>22</v>
      </c>
    </row>
    <row r="13" spans="1:9">
      <c r="A13" s="15" t="s">
        <v>289</v>
      </c>
      <c r="B13" s="15" t="s">
        <v>289</v>
      </c>
      <c r="C13" s="15" t="s">
        <v>289</v>
      </c>
      <c r="D13" s="15" t="s">
        <v>289</v>
      </c>
      <c r="E13" s="15" t="s">
        <v>289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22</v>
      </c>
      <c r="C16" s="18" t="s">
        <v>249</v>
      </c>
      <c r="D16" s="18" t="s">
        <v>249</v>
      </c>
      <c r="E16" s="8">
        <v>22</v>
      </c>
    </row>
    <row r="18" spans="1:5">
      <c r="A18" s="19" t="s">
        <v>255</v>
      </c>
      <c r="B18" s="19" t="s">
        <v>255</v>
      </c>
      <c r="C18" s="19" t="s">
        <v>255</v>
      </c>
      <c r="D18" s="19" t="s">
        <v>255</v>
      </c>
      <c r="E18" s="19" t="s">
        <v>255</v>
      </c>
    </row>
    <row r="19" spans="1:5">
      <c r="A19" s="17" t="s">
        <v>256</v>
      </c>
      <c r="B19" s="11"/>
      <c r="C19" s="11"/>
      <c r="D19" s="11" t="s">
        <v>241</v>
      </c>
      <c r="E19" s="11"/>
    </row>
    <row r="20" spans="1:5">
      <c r="A20" s="18" t="s">
        <v>290</v>
      </c>
      <c r="B20" s="18" t="s">
        <v>290</v>
      </c>
      <c r="C20" s="18" t="s">
        <v>290</v>
      </c>
      <c r="D20" s="8" t="s">
        <v>291</v>
      </c>
      <c r="E20" s="8" t="s">
        <v>254</v>
      </c>
    </row>
    <row r="22" spans="1:5">
      <c r="A22" s="19" t="s">
        <v>259</v>
      </c>
      <c r="B22" s="19" t="s">
        <v>259</v>
      </c>
      <c r="C22" s="19" t="s">
        <v>259</v>
      </c>
      <c r="D22" s="19" t="s">
        <v>259</v>
      </c>
      <c r="E22" s="19" t="s">
        <v>259</v>
      </c>
    </row>
    <row r="23" spans="1:5">
      <c r="A23" s="11" t="s">
        <v>241</v>
      </c>
      <c r="B23" s="11" t="s">
        <v>260</v>
      </c>
      <c r="C23" s="11" t="s">
        <v>261</v>
      </c>
      <c r="D23" s="11" t="s">
        <v>262</v>
      </c>
      <c r="E23" s="11"/>
    </row>
    <row r="24" spans="1:5" ht="36.75">
      <c r="A24" s="8" t="s">
        <v>241</v>
      </c>
      <c r="B24" s="8" t="s">
        <v>271</v>
      </c>
      <c r="C24" s="8" t="s">
        <v>291</v>
      </c>
      <c r="D24" s="8" t="s">
        <v>4</v>
      </c>
      <c r="E24" s="8" t="s">
        <v>267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3'!A1" display="13.3.6" xr:uid="{00000000-0004-0000-0700-000000000000}"/>
    <hyperlink ref="F2" location="'13.3.6E'!A1" display="22" xr:uid="{00000000-0004-0000-0700-000001000000}"/>
    <hyperlink ref="E10" location="'13.3.6E'!A1" display="'13.3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dimension ref="A1:E2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74</v>
      </c>
      <c r="B1" s="20" t="s">
        <v>74</v>
      </c>
      <c r="C1" s="20" t="s">
        <v>74</v>
      </c>
      <c r="D1" s="20" t="s">
        <v>74</v>
      </c>
      <c r="E1" s="20" t="s">
        <v>74</v>
      </c>
    </row>
    <row r="2" spans="1:5">
      <c r="A2" s="20" t="s">
        <v>74</v>
      </c>
      <c r="B2" s="20" t="s">
        <v>74</v>
      </c>
      <c r="C2" s="20" t="s">
        <v>74</v>
      </c>
      <c r="D2" s="20" t="s">
        <v>74</v>
      </c>
      <c r="E2" s="20" t="s">
        <v>74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727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728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SUBTOTAL(103,Elements13_3_151[Elemento])</f>
        <v>2</v>
      </c>
      <c r="D9" s="1" t="s">
        <v>246</v>
      </c>
      <c r="E9" s="1">
        <f>SUBTOTAL(109,Elements13_3_151[Totais:])</f>
        <v>2</v>
      </c>
    </row>
    <row r="12" spans="1:5">
      <c r="A12" s="20" t="s">
        <v>74</v>
      </c>
      <c r="B12" s="20" t="s">
        <v>74</v>
      </c>
      <c r="C12" s="20" t="s">
        <v>74</v>
      </c>
      <c r="D12" s="20" t="s">
        <v>74</v>
      </c>
      <c r="E12" s="20" t="s">
        <v>74</v>
      </c>
    </row>
    <row r="13" spans="1:5">
      <c r="A13" s="20" t="s">
        <v>74</v>
      </c>
      <c r="B13" s="20" t="s">
        <v>74</v>
      </c>
      <c r="C13" s="20" t="s">
        <v>74</v>
      </c>
      <c r="D13" s="20" t="s">
        <v>74</v>
      </c>
      <c r="E13" s="20" t="s">
        <v>74</v>
      </c>
    </row>
    <row r="15" spans="1:5">
      <c r="A15" s="15" t="s">
        <v>274</v>
      </c>
      <c r="B15" s="15" t="s">
        <v>274</v>
      </c>
      <c r="C15" s="15" t="s">
        <v>274</v>
      </c>
      <c r="D15" s="15" t="s">
        <v>274</v>
      </c>
      <c r="E15" s="15" t="s">
        <v>274</v>
      </c>
    </row>
    <row r="16" spans="1:5">
      <c r="A16" s="21" t="s">
        <v>246</v>
      </c>
      <c r="B16" s="21" t="s">
        <v>246</v>
      </c>
      <c r="C16" s="21" t="s">
        <v>246</v>
      </c>
      <c r="D16" s="21" t="s">
        <v>246</v>
      </c>
      <c r="E16" s="21" t="s">
        <v>246</v>
      </c>
    </row>
    <row r="17" spans="1:5">
      <c r="A17" s="7" t="s">
        <v>394</v>
      </c>
      <c r="B17" s="7" t="s">
        <v>395</v>
      </c>
      <c r="C17" s="7" t="s">
        <v>396</v>
      </c>
      <c r="D17" s="7" t="s">
        <v>397</v>
      </c>
      <c r="E17" s="7" t="s">
        <v>398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729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730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731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732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733</v>
      </c>
      <c r="E22" s="8">
        <v>1</v>
      </c>
    </row>
    <row r="23" spans="1:5">
      <c r="A23" s="1" t="s">
        <v>246</v>
      </c>
      <c r="B23" s="1" t="s">
        <v>246</v>
      </c>
      <c r="C23" s="1">
        <f>SUBTOTAL(103,Elements13_3_152[Elemento])</f>
        <v>5</v>
      </c>
      <c r="D23" s="1" t="s">
        <v>246</v>
      </c>
      <c r="E23" s="1">
        <f>SUBTOTAL(109,Elements13_3_152[Totais:])</f>
        <v>5</v>
      </c>
    </row>
  </sheetData>
  <mergeCells count="6">
    <mergeCell ref="A16:E16"/>
    <mergeCell ref="A1:E2"/>
    <mergeCell ref="A4:E4"/>
    <mergeCell ref="A5:E5"/>
    <mergeCell ref="A12:E13"/>
    <mergeCell ref="A15:E15"/>
  </mergeCells>
  <hyperlinks>
    <hyperlink ref="A1" location="'13.3.15'!A1" display="CAP SOLDAVEL,COM DIAMETRO DE 75MM.FORNECIMENTO" xr:uid="{00000000-0004-0000-4F00-000000000000}"/>
    <hyperlink ref="B1" location="'13.3.15'!A1" display="CAP SOLDAVEL,COM DIAMETRO DE 75MM.FORNECIMENTO" xr:uid="{00000000-0004-0000-4F00-000001000000}"/>
    <hyperlink ref="C1" location="'13.3.15'!A1" display="CAP SOLDAVEL,COM DIAMETRO DE 75MM.FORNECIMENTO" xr:uid="{00000000-0004-0000-4F00-000002000000}"/>
    <hyperlink ref="D1" location="'13.3.15'!A1" display="CAP SOLDAVEL,COM DIAMETRO DE 75MM.FORNECIMENTO" xr:uid="{00000000-0004-0000-4F00-000003000000}"/>
    <hyperlink ref="E1" location="'13.3.15'!A1" display="CAP SOLDAVEL,COM DIAMETRO DE 75MM.FORNECIMENTO" xr:uid="{00000000-0004-0000-4F00-000004000000}"/>
    <hyperlink ref="A2" location="'13.3.15'!A1" display="CAP SOLDAVEL,COM DIAMETRO DE 75MM.FORNECIMENTO" xr:uid="{00000000-0004-0000-4F00-000005000000}"/>
    <hyperlink ref="B2" location="'13.3.15'!A1" display="CAP SOLDAVEL,COM DIAMETRO DE 75MM.FORNECIMENTO" xr:uid="{00000000-0004-0000-4F00-000006000000}"/>
    <hyperlink ref="C2" location="'13.3.15'!A1" display="CAP SOLDAVEL,COM DIAMETRO DE 75MM.FORNECIMENTO" xr:uid="{00000000-0004-0000-4F00-000007000000}"/>
    <hyperlink ref="D2" location="'13.3.15'!A1" display="CAP SOLDAVEL,COM DIAMETRO DE 75MM.FORNECIMENTO" xr:uid="{00000000-0004-0000-4F00-000008000000}"/>
    <hyperlink ref="E2" location="'13.3.15'!A1" display="CAP SOLDAVEL,COM DIAMETRO DE 75MM.FORNECIMENTO" xr:uid="{00000000-0004-0000-4F00-000009000000}"/>
    <hyperlink ref="A4" location="'13.3.15'!A1" display="Conexões de tubo (Afastamento)" xr:uid="{00000000-0004-0000-4F00-00000A000000}"/>
    <hyperlink ref="B4" location="'13.3.15'!A1" display="Conexões de tubo (Afastamento)" xr:uid="{00000000-0004-0000-4F00-00000B000000}"/>
    <hyperlink ref="C4" location="'13.3.15'!A1" display="Conexões de tubo (Afastamento)" xr:uid="{00000000-0004-0000-4F00-00000C000000}"/>
    <hyperlink ref="D4" location="'13.3.15'!A1" display="Conexões de tubo (Afastamento)" xr:uid="{00000000-0004-0000-4F00-00000D000000}"/>
    <hyperlink ref="E4" location="'13.3.15'!A1" display="Conexões de tubo (Afastamento)" xr:uid="{00000000-0004-0000-4F00-00000E000000}"/>
    <hyperlink ref="A12" location="'13.3.15'!A1" display="CAP SOLDAVEL,COM DIAMETRO DE 75MM.FORNECIMENTO" xr:uid="{00000000-0004-0000-4F00-00000F000000}"/>
    <hyperlink ref="B12" location="'13.3.15'!A1" display="CAP SOLDAVEL,COM DIAMETRO DE 75MM.FORNECIMENTO" xr:uid="{00000000-0004-0000-4F00-000010000000}"/>
    <hyperlink ref="C12" location="'13.3.15'!A1" display="CAP SOLDAVEL,COM DIAMETRO DE 75MM.FORNECIMENTO" xr:uid="{00000000-0004-0000-4F00-000011000000}"/>
    <hyperlink ref="D12" location="'13.3.15'!A1" display="CAP SOLDAVEL,COM DIAMETRO DE 75MM.FORNECIMENTO" xr:uid="{00000000-0004-0000-4F00-000012000000}"/>
    <hyperlink ref="E12" location="'13.3.15'!A1" display="CAP SOLDAVEL,COM DIAMETRO DE 75MM.FORNECIMENTO" xr:uid="{00000000-0004-0000-4F00-000013000000}"/>
    <hyperlink ref="A13" location="'13.3.15'!A1" display="CAP SOLDAVEL,COM DIAMETRO DE 75MM.FORNECIMENTO" xr:uid="{00000000-0004-0000-4F00-000014000000}"/>
    <hyperlink ref="B13" location="'13.3.15'!A1" display="CAP SOLDAVEL,COM DIAMETRO DE 75MM.FORNECIMENTO" xr:uid="{00000000-0004-0000-4F00-000015000000}"/>
    <hyperlink ref="C13" location="'13.3.15'!A1" display="CAP SOLDAVEL,COM DIAMETRO DE 75MM.FORNECIMENTO" xr:uid="{00000000-0004-0000-4F00-000016000000}"/>
    <hyperlink ref="D13" location="'13.3.15'!A1" display="CAP SOLDAVEL,COM DIAMETRO DE 75MM.FORNECIMENTO" xr:uid="{00000000-0004-0000-4F00-000017000000}"/>
    <hyperlink ref="E13" location="'13.3.15'!A1" display="CAP SOLDAVEL,COM DIAMETRO DE 75MM.FORNECIMENTO" xr:uid="{00000000-0004-0000-4F00-000018000000}"/>
    <hyperlink ref="A15" location="'13.3.15'!A1" display="Conexões de tubo (Afastamento)" xr:uid="{00000000-0004-0000-4F00-000019000000}"/>
    <hyperlink ref="B15" location="'13.3.15'!A1" display="Conexões de tubo (Afastamento)" xr:uid="{00000000-0004-0000-4F00-00001A000000}"/>
    <hyperlink ref="C15" location="'13.3.15'!A1" display="Conexões de tubo (Afastamento)" xr:uid="{00000000-0004-0000-4F00-00001B000000}"/>
    <hyperlink ref="D15" location="'13.3.15'!A1" display="Conexões de tubo (Afastamento)" xr:uid="{00000000-0004-0000-4F00-00001C000000}"/>
    <hyperlink ref="E15" location="'13.3.15'!A1" display="Conexões de tubo (Afastamento)" xr:uid="{00000000-0004-0000-4F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dimension ref="A1:E2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78</v>
      </c>
      <c r="B1" s="20" t="s">
        <v>78</v>
      </c>
      <c r="C1" s="20" t="s">
        <v>78</v>
      </c>
      <c r="D1" s="20" t="s">
        <v>78</v>
      </c>
      <c r="E1" s="20" t="s">
        <v>78</v>
      </c>
    </row>
    <row r="2" spans="1:5">
      <c r="A2" s="20" t="s">
        <v>78</v>
      </c>
      <c r="B2" s="20" t="s">
        <v>78</v>
      </c>
      <c r="C2" s="20" t="s">
        <v>78</v>
      </c>
      <c r="D2" s="20" t="s">
        <v>78</v>
      </c>
      <c r="E2" s="20" t="s">
        <v>78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322</v>
      </c>
      <c r="D7" s="8" t="s">
        <v>734</v>
      </c>
      <c r="E7" s="8">
        <v>1</v>
      </c>
    </row>
    <row r="8" spans="1:5" ht="24.75">
      <c r="A8" s="8" t="s">
        <v>399</v>
      </c>
      <c r="B8" s="8" t="s">
        <v>253</v>
      </c>
      <c r="C8" s="8" t="s">
        <v>322</v>
      </c>
      <c r="D8" s="8" t="s">
        <v>735</v>
      </c>
      <c r="E8" s="8">
        <v>1</v>
      </c>
    </row>
    <row r="9" spans="1:5" ht="24.75">
      <c r="A9" s="8" t="s">
        <v>399</v>
      </c>
      <c r="B9" s="8" t="s">
        <v>253</v>
      </c>
      <c r="C9" s="8" t="s">
        <v>322</v>
      </c>
      <c r="D9" s="8" t="s">
        <v>736</v>
      </c>
      <c r="E9" s="8">
        <v>1</v>
      </c>
    </row>
    <row r="10" spans="1:5" ht="24.75">
      <c r="A10" s="8" t="s">
        <v>399</v>
      </c>
      <c r="B10" s="8" t="s">
        <v>253</v>
      </c>
      <c r="C10" s="8" t="s">
        <v>322</v>
      </c>
      <c r="D10" s="8" t="s">
        <v>737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322</v>
      </c>
      <c r="D11" s="8" t="s">
        <v>738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322</v>
      </c>
      <c r="D12" s="8" t="s">
        <v>739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322</v>
      </c>
      <c r="D13" s="8" t="s">
        <v>740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322</v>
      </c>
      <c r="D14" s="8" t="s">
        <v>741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322</v>
      </c>
      <c r="D15" s="8" t="s">
        <v>742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322</v>
      </c>
      <c r="D16" s="8" t="s">
        <v>743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322</v>
      </c>
      <c r="D17" s="8" t="s">
        <v>744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322</v>
      </c>
      <c r="D18" s="8" t="s">
        <v>745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322</v>
      </c>
      <c r="D19" s="8" t="s">
        <v>746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322</v>
      </c>
      <c r="D20" s="8" t="s">
        <v>747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322</v>
      </c>
      <c r="D21" s="8" t="s">
        <v>748</v>
      </c>
      <c r="E21" s="8">
        <v>1</v>
      </c>
    </row>
    <row r="22" spans="1:5">
      <c r="A22" s="1" t="s">
        <v>246</v>
      </c>
      <c r="B22" s="1" t="s">
        <v>246</v>
      </c>
      <c r="C22" s="1">
        <f>SUBTOTAL(103,Elements13_3_161[Elemento])</f>
        <v>15</v>
      </c>
      <c r="D22" s="1" t="s">
        <v>246</v>
      </c>
      <c r="E22" s="1">
        <f>SUBTOTAL(109,Elements13_3_161[Totais:])</f>
        <v>15</v>
      </c>
    </row>
  </sheetData>
  <mergeCells count="3">
    <mergeCell ref="A1:E2"/>
    <mergeCell ref="A4:E4"/>
    <mergeCell ref="A5:E5"/>
  </mergeCells>
  <hyperlinks>
    <hyperlink ref="A1" location="'13.3.16'!A1" display="RALO DE COBERTURA SEMI-ESFERICO(TIPO ABACAXI),COM 3&quot;.FORNECIMENTO E COLOCACAO" xr:uid="{00000000-0004-0000-5000-000000000000}"/>
    <hyperlink ref="B1" location="'13.3.16'!A1" display="RALO DE COBERTURA SEMI-ESFERICO(TIPO ABACAXI),COM 3&quot;.FORNECIMENTO E COLOCACAO" xr:uid="{00000000-0004-0000-5000-000001000000}"/>
    <hyperlink ref="C1" location="'13.3.16'!A1" display="RALO DE COBERTURA SEMI-ESFERICO(TIPO ABACAXI),COM 3&quot;.FORNECIMENTO E COLOCACAO" xr:uid="{00000000-0004-0000-5000-000002000000}"/>
    <hyperlink ref="D1" location="'13.3.16'!A1" display="RALO DE COBERTURA SEMI-ESFERICO(TIPO ABACAXI),COM 3&quot;.FORNECIMENTO E COLOCACAO" xr:uid="{00000000-0004-0000-5000-000003000000}"/>
    <hyperlink ref="E1" location="'13.3.16'!A1" display="RALO DE COBERTURA SEMI-ESFERICO(TIPO ABACAXI),COM 3&quot;.FORNECIMENTO E COLOCACAO" xr:uid="{00000000-0004-0000-5000-000004000000}"/>
    <hyperlink ref="A2" location="'13.3.16'!A1" display="RALO DE COBERTURA SEMI-ESFERICO(TIPO ABACAXI),COM 3&quot;.FORNECIMENTO E COLOCACAO" xr:uid="{00000000-0004-0000-5000-000005000000}"/>
    <hyperlink ref="B2" location="'13.3.16'!A1" display="RALO DE COBERTURA SEMI-ESFERICO(TIPO ABACAXI),COM 3&quot;.FORNECIMENTO E COLOCACAO" xr:uid="{00000000-0004-0000-5000-000006000000}"/>
    <hyperlink ref="C2" location="'13.3.16'!A1" display="RALO DE COBERTURA SEMI-ESFERICO(TIPO ABACAXI),COM 3&quot;.FORNECIMENTO E COLOCACAO" xr:uid="{00000000-0004-0000-5000-000007000000}"/>
    <hyperlink ref="D2" location="'13.3.16'!A1" display="RALO DE COBERTURA SEMI-ESFERICO(TIPO ABACAXI),COM 3&quot;.FORNECIMENTO E COLOCACAO" xr:uid="{00000000-0004-0000-5000-000008000000}"/>
    <hyperlink ref="E2" location="'13.3.16'!A1" display="RALO DE COBERTURA SEMI-ESFERICO(TIPO ABACAXI),COM 3&quot;.FORNECIMENTO E COLOCACAO" xr:uid="{00000000-0004-0000-5000-000009000000}"/>
    <hyperlink ref="A4" location="'13.3.16'!A1" display="Peças hidrossanitárias (Ajuste altura furos)" xr:uid="{00000000-0004-0000-5000-00000A000000}"/>
    <hyperlink ref="B4" location="'13.3.16'!A1" display="Peças hidrossanitárias (Ajuste altura furos)" xr:uid="{00000000-0004-0000-5000-00000B000000}"/>
    <hyperlink ref="C4" location="'13.3.16'!A1" display="Peças hidrossanitárias (Ajuste altura furos)" xr:uid="{00000000-0004-0000-5000-00000C000000}"/>
    <hyperlink ref="D4" location="'13.3.16'!A1" display="Peças hidrossanitárias (Ajuste altura furos)" xr:uid="{00000000-0004-0000-5000-00000D000000}"/>
    <hyperlink ref="E4" location="'13.3.16'!A1" display="Peças hidrossanitárias (Ajuste altura furos)" xr:uid="{00000000-0004-0000-5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E8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82</v>
      </c>
      <c r="B1" s="20" t="s">
        <v>82</v>
      </c>
      <c r="C1" s="20" t="s">
        <v>82</v>
      </c>
      <c r="D1" s="20" t="s">
        <v>82</v>
      </c>
      <c r="E1" s="20" t="s">
        <v>82</v>
      </c>
    </row>
    <row r="2" spans="1:5">
      <c r="A2" s="20" t="s">
        <v>82</v>
      </c>
      <c r="B2" s="20" t="s">
        <v>82</v>
      </c>
      <c r="C2" s="20" t="s">
        <v>82</v>
      </c>
      <c r="D2" s="20" t="s">
        <v>82</v>
      </c>
      <c r="E2" s="20" t="s">
        <v>82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749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750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751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752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753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754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755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756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757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758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759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760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761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762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763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764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765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766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767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768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769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770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771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772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773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774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775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776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777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778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779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780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781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782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783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784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785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786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787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788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789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277</v>
      </c>
      <c r="D48" s="8" t="s">
        <v>790</v>
      </c>
      <c r="E48" s="8">
        <v>1</v>
      </c>
    </row>
    <row r="49" spans="1:5" ht="24.75">
      <c r="A49" s="8" t="s">
        <v>399</v>
      </c>
      <c r="B49" s="8" t="s">
        <v>253</v>
      </c>
      <c r="C49" s="8" t="s">
        <v>277</v>
      </c>
      <c r="D49" s="8" t="s">
        <v>791</v>
      </c>
      <c r="E49" s="8">
        <v>1</v>
      </c>
    </row>
    <row r="50" spans="1:5" ht="24.75">
      <c r="A50" s="8" t="s">
        <v>399</v>
      </c>
      <c r="B50" s="8" t="s">
        <v>253</v>
      </c>
      <c r="C50" s="8" t="s">
        <v>277</v>
      </c>
      <c r="D50" s="8" t="s">
        <v>792</v>
      </c>
      <c r="E50" s="8">
        <v>1</v>
      </c>
    </row>
    <row r="51" spans="1:5" ht="24.75">
      <c r="A51" s="8" t="s">
        <v>399</v>
      </c>
      <c r="B51" s="8" t="s">
        <v>253</v>
      </c>
      <c r="C51" s="8" t="s">
        <v>277</v>
      </c>
      <c r="D51" s="8" t="s">
        <v>793</v>
      </c>
      <c r="E51" s="8">
        <v>1</v>
      </c>
    </row>
    <row r="52" spans="1:5" ht="24.75">
      <c r="A52" s="8" t="s">
        <v>399</v>
      </c>
      <c r="B52" s="8" t="s">
        <v>253</v>
      </c>
      <c r="C52" s="8" t="s">
        <v>277</v>
      </c>
      <c r="D52" s="8" t="s">
        <v>794</v>
      </c>
      <c r="E52" s="8">
        <v>1</v>
      </c>
    </row>
    <row r="53" spans="1:5" ht="24.75">
      <c r="A53" s="8" t="s">
        <v>399</v>
      </c>
      <c r="B53" s="8" t="s">
        <v>253</v>
      </c>
      <c r="C53" s="8" t="s">
        <v>277</v>
      </c>
      <c r="D53" s="8" t="s">
        <v>795</v>
      </c>
      <c r="E53" s="8">
        <v>1</v>
      </c>
    </row>
    <row r="54" spans="1:5" ht="24.75">
      <c r="A54" s="8" t="s">
        <v>399</v>
      </c>
      <c r="B54" s="8" t="s">
        <v>253</v>
      </c>
      <c r="C54" s="8" t="s">
        <v>277</v>
      </c>
      <c r="D54" s="8" t="s">
        <v>796</v>
      </c>
      <c r="E54" s="8">
        <v>1</v>
      </c>
    </row>
    <row r="55" spans="1:5" ht="24.75">
      <c r="A55" s="8" t="s">
        <v>399</v>
      </c>
      <c r="B55" s="8" t="s">
        <v>253</v>
      </c>
      <c r="C55" s="8" t="s">
        <v>277</v>
      </c>
      <c r="D55" s="8" t="s">
        <v>797</v>
      </c>
      <c r="E55" s="8">
        <v>1</v>
      </c>
    </row>
    <row r="56" spans="1:5" ht="24.75">
      <c r="A56" s="8" t="s">
        <v>399</v>
      </c>
      <c r="B56" s="8" t="s">
        <v>253</v>
      </c>
      <c r="C56" s="8" t="s">
        <v>277</v>
      </c>
      <c r="D56" s="8" t="s">
        <v>798</v>
      </c>
      <c r="E56" s="8">
        <v>1</v>
      </c>
    </row>
    <row r="57" spans="1:5" ht="24.75">
      <c r="A57" s="8" t="s">
        <v>399</v>
      </c>
      <c r="B57" s="8" t="s">
        <v>253</v>
      </c>
      <c r="C57" s="8" t="s">
        <v>277</v>
      </c>
      <c r="D57" s="8" t="s">
        <v>799</v>
      </c>
      <c r="E57" s="8">
        <v>1</v>
      </c>
    </row>
    <row r="58" spans="1:5" ht="24.75">
      <c r="A58" s="8" t="s">
        <v>399</v>
      </c>
      <c r="B58" s="8" t="s">
        <v>253</v>
      </c>
      <c r="C58" s="8" t="s">
        <v>277</v>
      </c>
      <c r="D58" s="8" t="s">
        <v>800</v>
      </c>
      <c r="E58" s="8">
        <v>1</v>
      </c>
    </row>
    <row r="59" spans="1:5" ht="24.75">
      <c r="A59" s="8" t="s">
        <v>399</v>
      </c>
      <c r="B59" s="8" t="s">
        <v>253</v>
      </c>
      <c r="C59" s="8" t="s">
        <v>277</v>
      </c>
      <c r="D59" s="8" t="s">
        <v>801</v>
      </c>
      <c r="E59" s="8">
        <v>1</v>
      </c>
    </row>
    <row r="60" spans="1:5" ht="24.75">
      <c r="A60" s="8" t="s">
        <v>399</v>
      </c>
      <c r="B60" s="8" t="s">
        <v>253</v>
      </c>
      <c r="C60" s="8" t="s">
        <v>277</v>
      </c>
      <c r="D60" s="8" t="s">
        <v>802</v>
      </c>
      <c r="E60" s="8">
        <v>1</v>
      </c>
    </row>
    <row r="61" spans="1:5" ht="24.75">
      <c r="A61" s="8" t="s">
        <v>399</v>
      </c>
      <c r="B61" s="8" t="s">
        <v>253</v>
      </c>
      <c r="C61" s="8" t="s">
        <v>277</v>
      </c>
      <c r="D61" s="8" t="s">
        <v>803</v>
      </c>
      <c r="E61" s="8">
        <v>1</v>
      </c>
    </row>
    <row r="62" spans="1:5" ht="24.75">
      <c r="A62" s="8" t="s">
        <v>399</v>
      </c>
      <c r="B62" s="8" t="s">
        <v>253</v>
      </c>
      <c r="C62" s="8" t="s">
        <v>277</v>
      </c>
      <c r="D62" s="8" t="s">
        <v>804</v>
      </c>
      <c r="E62" s="8">
        <v>1</v>
      </c>
    </row>
    <row r="63" spans="1:5" ht="24.75">
      <c r="A63" s="8" t="s">
        <v>399</v>
      </c>
      <c r="B63" s="8" t="s">
        <v>253</v>
      </c>
      <c r="C63" s="8" t="s">
        <v>277</v>
      </c>
      <c r="D63" s="8" t="s">
        <v>805</v>
      </c>
      <c r="E63" s="8">
        <v>1</v>
      </c>
    </row>
    <row r="64" spans="1:5" ht="24.75">
      <c r="A64" s="8" t="s">
        <v>399</v>
      </c>
      <c r="B64" s="8" t="s">
        <v>253</v>
      </c>
      <c r="C64" s="8" t="s">
        <v>277</v>
      </c>
      <c r="D64" s="8" t="s">
        <v>806</v>
      </c>
      <c r="E64" s="8">
        <v>1</v>
      </c>
    </row>
    <row r="65" spans="1:5" ht="24.75">
      <c r="A65" s="8" t="s">
        <v>399</v>
      </c>
      <c r="B65" s="8" t="s">
        <v>253</v>
      </c>
      <c r="C65" s="8" t="s">
        <v>277</v>
      </c>
      <c r="D65" s="8" t="s">
        <v>807</v>
      </c>
      <c r="E65" s="8">
        <v>1</v>
      </c>
    </row>
    <row r="66" spans="1:5" ht="24.75">
      <c r="A66" s="8" t="s">
        <v>399</v>
      </c>
      <c r="B66" s="8" t="s">
        <v>253</v>
      </c>
      <c r="C66" s="8" t="s">
        <v>277</v>
      </c>
      <c r="D66" s="8" t="s">
        <v>808</v>
      </c>
      <c r="E66" s="8">
        <v>1</v>
      </c>
    </row>
    <row r="67" spans="1:5" ht="24.75">
      <c r="A67" s="8" t="s">
        <v>399</v>
      </c>
      <c r="B67" s="8" t="s">
        <v>253</v>
      </c>
      <c r="C67" s="8" t="s">
        <v>277</v>
      </c>
      <c r="D67" s="8" t="s">
        <v>809</v>
      </c>
      <c r="E67" s="8">
        <v>1</v>
      </c>
    </row>
    <row r="68" spans="1:5" ht="24.75">
      <c r="A68" s="8" t="s">
        <v>399</v>
      </c>
      <c r="B68" s="8" t="s">
        <v>253</v>
      </c>
      <c r="C68" s="8" t="s">
        <v>277</v>
      </c>
      <c r="D68" s="8" t="s">
        <v>810</v>
      </c>
      <c r="E68" s="8">
        <v>1</v>
      </c>
    </row>
    <row r="69" spans="1:5" ht="24.75">
      <c r="A69" s="8" t="s">
        <v>399</v>
      </c>
      <c r="B69" s="8" t="s">
        <v>253</v>
      </c>
      <c r="C69" s="8" t="s">
        <v>277</v>
      </c>
      <c r="D69" s="8" t="s">
        <v>811</v>
      </c>
      <c r="E69" s="8">
        <v>1</v>
      </c>
    </row>
    <row r="70" spans="1:5" ht="24.75">
      <c r="A70" s="8" t="s">
        <v>399</v>
      </c>
      <c r="B70" s="8" t="s">
        <v>253</v>
      </c>
      <c r="C70" s="8" t="s">
        <v>277</v>
      </c>
      <c r="D70" s="8" t="s">
        <v>812</v>
      </c>
      <c r="E70" s="8">
        <v>1</v>
      </c>
    </row>
    <row r="71" spans="1:5" ht="24.75">
      <c r="A71" s="8" t="s">
        <v>399</v>
      </c>
      <c r="B71" s="8" t="s">
        <v>253</v>
      </c>
      <c r="C71" s="8" t="s">
        <v>277</v>
      </c>
      <c r="D71" s="8" t="s">
        <v>813</v>
      </c>
      <c r="E71" s="8">
        <v>1</v>
      </c>
    </row>
    <row r="72" spans="1:5" ht="24.75">
      <c r="A72" s="8" t="s">
        <v>399</v>
      </c>
      <c r="B72" s="8" t="s">
        <v>253</v>
      </c>
      <c r="C72" s="8" t="s">
        <v>277</v>
      </c>
      <c r="D72" s="8" t="s">
        <v>814</v>
      </c>
      <c r="E72" s="8">
        <v>1</v>
      </c>
    </row>
    <row r="73" spans="1:5" ht="24.75">
      <c r="A73" s="8" t="s">
        <v>399</v>
      </c>
      <c r="B73" s="8" t="s">
        <v>253</v>
      </c>
      <c r="C73" s="8" t="s">
        <v>277</v>
      </c>
      <c r="D73" s="8" t="s">
        <v>815</v>
      </c>
      <c r="E73" s="8">
        <v>1</v>
      </c>
    </row>
    <row r="74" spans="1:5" ht="24.75">
      <c r="A74" s="8" t="s">
        <v>399</v>
      </c>
      <c r="B74" s="8" t="s">
        <v>253</v>
      </c>
      <c r="C74" s="8" t="s">
        <v>277</v>
      </c>
      <c r="D74" s="8" t="s">
        <v>816</v>
      </c>
      <c r="E74" s="8">
        <v>1</v>
      </c>
    </row>
    <row r="75" spans="1:5" ht="24.75">
      <c r="A75" s="8" t="s">
        <v>399</v>
      </c>
      <c r="B75" s="8" t="s">
        <v>253</v>
      </c>
      <c r="C75" s="8" t="s">
        <v>277</v>
      </c>
      <c r="D75" s="8" t="s">
        <v>817</v>
      </c>
      <c r="E75" s="8">
        <v>1</v>
      </c>
    </row>
    <row r="76" spans="1:5" ht="24.75">
      <c r="A76" s="8" t="s">
        <v>399</v>
      </c>
      <c r="B76" s="8" t="s">
        <v>253</v>
      </c>
      <c r="C76" s="8" t="s">
        <v>277</v>
      </c>
      <c r="D76" s="8" t="s">
        <v>818</v>
      </c>
      <c r="E76" s="8">
        <v>1</v>
      </c>
    </row>
    <row r="77" spans="1:5" ht="24.75">
      <c r="A77" s="8" t="s">
        <v>399</v>
      </c>
      <c r="B77" s="8" t="s">
        <v>253</v>
      </c>
      <c r="C77" s="8" t="s">
        <v>277</v>
      </c>
      <c r="D77" s="8" t="s">
        <v>819</v>
      </c>
      <c r="E77" s="8">
        <v>1</v>
      </c>
    </row>
    <row r="78" spans="1:5" ht="24.75">
      <c r="A78" s="8" t="s">
        <v>399</v>
      </c>
      <c r="B78" s="8" t="s">
        <v>253</v>
      </c>
      <c r="C78" s="8" t="s">
        <v>277</v>
      </c>
      <c r="D78" s="8" t="s">
        <v>820</v>
      </c>
      <c r="E78" s="8">
        <v>1</v>
      </c>
    </row>
    <row r="79" spans="1:5" ht="24.75">
      <c r="A79" s="8" t="s">
        <v>399</v>
      </c>
      <c r="B79" s="8" t="s">
        <v>253</v>
      </c>
      <c r="C79" s="8" t="s">
        <v>277</v>
      </c>
      <c r="D79" s="8" t="s">
        <v>821</v>
      </c>
      <c r="E79" s="8">
        <v>1</v>
      </c>
    </row>
    <row r="80" spans="1:5">
      <c r="A80" s="1" t="s">
        <v>246</v>
      </c>
      <c r="B80" s="1" t="s">
        <v>246</v>
      </c>
      <c r="C80" s="1">
        <f>SUBTOTAL(103,Elements13_3_171[Elemento])</f>
        <v>73</v>
      </c>
      <c r="D80" s="1" t="s">
        <v>246</v>
      </c>
      <c r="E80" s="1">
        <f>SUBTOTAL(109,Elements13_3_171[Totais:])</f>
        <v>73</v>
      </c>
    </row>
  </sheetData>
  <mergeCells count="3">
    <mergeCell ref="A1:E2"/>
    <mergeCell ref="A4:E4"/>
    <mergeCell ref="A5:E5"/>
  </mergeCells>
  <hyperlinks>
    <hyperlink ref="A1" location="'13.3.17'!A1" display="LUVA SIMPLES, PVC, SERIE NORMAL, ESGOTO PREDIAL, DN 100 MM, JUNTA ELÁSTICA, FORNECIDO E INSTALADO EM RAMAL DE DESCARGA OU RAMAL DE ESGOTO SANITÁRIO. AF_08/2022" xr:uid="{00000000-0004-0000-5100-000000000000}"/>
    <hyperlink ref="B1" location="'13.3.17'!A1" display="LUVA SIMPLES, PVC, SERIE NORMAL, ESGOTO PREDIAL, DN 100 MM, JUNTA ELÁSTICA, FORNECIDO E INSTALADO EM RAMAL DE DESCARGA OU RAMAL DE ESGOTO SANITÁRIO. AF_08/2022" xr:uid="{00000000-0004-0000-5100-000001000000}"/>
    <hyperlink ref="C1" location="'13.3.17'!A1" display="LUVA SIMPLES, PVC, SERIE NORMAL, ESGOTO PREDIAL, DN 100 MM, JUNTA ELÁSTICA, FORNECIDO E INSTALADO EM RAMAL DE DESCARGA OU RAMAL DE ESGOTO SANITÁRIO. AF_08/2022" xr:uid="{00000000-0004-0000-5100-000002000000}"/>
    <hyperlink ref="D1" location="'13.3.17'!A1" display="LUVA SIMPLES, PVC, SERIE NORMAL, ESGOTO PREDIAL, DN 100 MM, JUNTA ELÁSTICA, FORNECIDO E INSTALADO EM RAMAL DE DESCARGA OU RAMAL DE ESGOTO SANITÁRIO. AF_08/2022" xr:uid="{00000000-0004-0000-5100-000003000000}"/>
    <hyperlink ref="E1" location="'13.3.17'!A1" display="LUVA SIMPLES, PVC, SERIE NORMAL, ESGOTO PREDIAL, DN 100 MM, JUNTA ELÁSTICA, FORNECIDO E INSTALADO EM RAMAL DE DESCARGA OU RAMAL DE ESGOTO SANITÁRIO. AF_08/2022" xr:uid="{00000000-0004-0000-5100-000004000000}"/>
    <hyperlink ref="A2" location="'13.3.17'!A1" display="LUVA SIMPLES, PVC, SERIE NORMAL, ESGOTO PREDIAL, DN 100 MM, JUNTA ELÁSTICA, FORNECIDO E INSTALADO EM RAMAL DE DESCARGA OU RAMAL DE ESGOTO SANITÁRIO. AF_08/2022" xr:uid="{00000000-0004-0000-5100-000005000000}"/>
    <hyperlink ref="B2" location="'13.3.17'!A1" display="LUVA SIMPLES, PVC, SERIE NORMAL, ESGOTO PREDIAL, DN 100 MM, JUNTA ELÁSTICA, FORNECIDO E INSTALADO EM RAMAL DE DESCARGA OU RAMAL DE ESGOTO SANITÁRIO. AF_08/2022" xr:uid="{00000000-0004-0000-5100-000006000000}"/>
    <hyperlink ref="C2" location="'13.3.17'!A1" display="LUVA SIMPLES, PVC, SERIE NORMAL, ESGOTO PREDIAL, DN 100 MM, JUNTA ELÁSTICA, FORNECIDO E INSTALADO EM RAMAL DE DESCARGA OU RAMAL DE ESGOTO SANITÁRIO. AF_08/2022" xr:uid="{00000000-0004-0000-5100-000007000000}"/>
    <hyperlink ref="D2" location="'13.3.17'!A1" display="LUVA SIMPLES, PVC, SERIE NORMAL, ESGOTO PREDIAL, DN 100 MM, JUNTA ELÁSTICA, FORNECIDO E INSTALADO EM RAMAL DE DESCARGA OU RAMAL DE ESGOTO SANITÁRIO. AF_08/2022" xr:uid="{00000000-0004-0000-5100-000008000000}"/>
    <hyperlink ref="E2" location="'13.3.17'!A1" display="LUVA SIMPLES, PVC, SERIE NORMAL, ESGOTO PREDIAL, DN 100 MM, JUNTA ELÁSTICA, FORNECIDO E INSTALADO EM RAMAL DE DESCARGA OU RAMAL DE ESGOTO SANITÁRIO. AF_08/2022" xr:uid="{00000000-0004-0000-5100-000009000000}"/>
    <hyperlink ref="A4" location="'13.3.17'!A1" display="Conexões de tubo (Afastamento)" xr:uid="{00000000-0004-0000-5100-00000A000000}"/>
    <hyperlink ref="B4" location="'13.3.17'!A1" display="Conexões de tubo (Afastamento)" xr:uid="{00000000-0004-0000-5100-00000B000000}"/>
    <hyperlink ref="C4" location="'13.3.17'!A1" display="Conexões de tubo (Afastamento)" xr:uid="{00000000-0004-0000-5100-00000C000000}"/>
    <hyperlink ref="D4" location="'13.3.17'!A1" display="Conexões de tubo (Afastamento)" xr:uid="{00000000-0004-0000-5100-00000D000000}"/>
    <hyperlink ref="E4" location="'13.3.17'!A1" display="Conexões de tubo (Afastamento)" xr:uid="{00000000-0004-0000-5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86</v>
      </c>
      <c r="B1" s="20" t="s">
        <v>86</v>
      </c>
      <c r="C1" s="20" t="s">
        <v>86</v>
      </c>
      <c r="D1" s="20" t="s">
        <v>86</v>
      </c>
      <c r="E1" s="20" t="s">
        <v>86</v>
      </c>
    </row>
    <row r="2" spans="1:5">
      <c r="A2" s="20" t="s">
        <v>86</v>
      </c>
      <c r="B2" s="20" t="s">
        <v>86</v>
      </c>
      <c r="C2" s="20" t="s">
        <v>86</v>
      </c>
      <c r="D2" s="20" t="s">
        <v>86</v>
      </c>
      <c r="E2" s="20" t="s">
        <v>86</v>
      </c>
    </row>
    <row r="4" spans="1:5">
      <c r="A4" s="15" t="s">
        <v>307</v>
      </c>
      <c r="B4" s="15" t="s">
        <v>307</v>
      </c>
      <c r="C4" s="15" t="s">
        <v>307</v>
      </c>
      <c r="D4" s="15" t="s">
        <v>307</v>
      </c>
      <c r="E4" s="15" t="s">
        <v>307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822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823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SUBTOTAL(103,Elements13_3_181[Elemento])</f>
        <v>2</v>
      </c>
      <c r="D9" s="1" t="s">
        <v>246</v>
      </c>
      <c r="E9" s="1">
        <f>SUBTOTAL(109,Elements13_3_181[Totais:])</f>
        <v>2</v>
      </c>
    </row>
  </sheetData>
  <mergeCells count="3">
    <mergeCell ref="A1:E2"/>
    <mergeCell ref="A4:E4"/>
    <mergeCell ref="A5:E5"/>
  </mergeCells>
  <hyperlinks>
    <hyperlink ref="A1" location="'13.3.18'!A1" display="CURVA DE 45° DE PVC-PBA,COM BOLSA DE JUNTA ELASTICA,DIAMETRO NOMINAL 100MM. FORNECIMENTO" xr:uid="{00000000-0004-0000-5200-000000000000}"/>
    <hyperlink ref="B1" location="'13.3.18'!A1" display="CURVA DE 45° DE PVC-PBA,COM BOLSA DE JUNTA ELASTICA,DIAMETRO NOMINAL 100MM. FORNECIMENTO" xr:uid="{00000000-0004-0000-5200-000001000000}"/>
    <hyperlink ref="C1" location="'13.3.18'!A1" display="CURVA DE 45° DE PVC-PBA,COM BOLSA DE JUNTA ELASTICA,DIAMETRO NOMINAL 100MM. FORNECIMENTO" xr:uid="{00000000-0004-0000-5200-000002000000}"/>
    <hyperlink ref="D1" location="'13.3.18'!A1" display="CURVA DE 45° DE PVC-PBA,COM BOLSA DE JUNTA ELASTICA,DIAMETRO NOMINAL 100MM. FORNECIMENTO" xr:uid="{00000000-0004-0000-5200-000003000000}"/>
    <hyperlink ref="E1" location="'13.3.18'!A1" display="CURVA DE 45° DE PVC-PBA,COM BOLSA DE JUNTA ELASTICA,DIAMETRO NOMINAL 100MM. FORNECIMENTO" xr:uid="{00000000-0004-0000-5200-000004000000}"/>
    <hyperlink ref="A2" location="'13.3.18'!A1" display="CURVA DE 45° DE PVC-PBA,COM BOLSA DE JUNTA ELASTICA,DIAMETRO NOMINAL 100MM. FORNECIMENTO" xr:uid="{00000000-0004-0000-5200-000005000000}"/>
    <hyperlink ref="B2" location="'13.3.18'!A1" display="CURVA DE 45° DE PVC-PBA,COM BOLSA DE JUNTA ELASTICA,DIAMETRO NOMINAL 100MM. FORNECIMENTO" xr:uid="{00000000-0004-0000-5200-000006000000}"/>
    <hyperlink ref="C2" location="'13.3.18'!A1" display="CURVA DE 45° DE PVC-PBA,COM BOLSA DE JUNTA ELASTICA,DIAMETRO NOMINAL 100MM. FORNECIMENTO" xr:uid="{00000000-0004-0000-5200-000007000000}"/>
    <hyperlink ref="D2" location="'13.3.18'!A1" display="CURVA DE 45° DE PVC-PBA,COM BOLSA DE JUNTA ELASTICA,DIAMETRO NOMINAL 100MM. FORNECIMENTO" xr:uid="{00000000-0004-0000-5200-000008000000}"/>
    <hyperlink ref="E2" location="'13.3.18'!A1" display="CURVA DE 45° DE PVC-PBA,COM BOLSA DE JUNTA ELASTICA,DIAMETRO NOMINAL 100MM. FORNECIMENTO" xr:uid="{00000000-0004-0000-5200-000009000000}"/>
    <hyperlink ref="A4" location="'13.3.18'!A1" display="Conexões de tubo" xr:uid="{00000000-0004-0000-5200-00000A000000}"/>
    <hyperlink ref="B4" location="'13.3.18'!A1" display="Conexões de tubo" xr:uid="{00000000-0004-0000-5200-00000B000000}"/>
    <hyperlink ref="C4" location="'13.3.18'!A1" display="Conexões de tubo" xr:uid="{00000000-0004-0000-5200-00000C000000}"/>
    <hyperlink ref="D4" location="'13.3.18'!A1" display="Conexões de tubo" xr:uid="{00000000-0004-0000-5200-00000D000000}"/>
    <hyperlink ref="E4" location="'13.3.18'!A1" display="Conexões de tubo" xr:uid="{00000000-0004-0000-5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90</v>
      </c>
      <c r="B1" s="20" t="s">
        <v>90</v>
      </c>
      <c r="C1" s="20" t="s">
        <v>90</v>
      </c>
      <c r="D1" s="20" t="s">
        <v>90</v>
      </c>
      <c r="E1" s="20" t="s">
        <v>90</v>
      </c>
    </row>
    <row r="2" spans="1:5">
      <c r="A2" s="20" t="s">
        <v>90</v>
      </c>
      <c r="B2" s="20" t="s">
        <v>90</v>
      </c>
      <c r="C2" s="20" t="s">
        <v>90</v>
      </c>
      <c r="D2" s="20" t="s">
        <v>90</v>
      </c>
      <c r="E2" s="20" t="s">
        <v>90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824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SUBTOTAL(103,Elements13_3_191[Elemento])</f>
        <v>1</v>
      </c>
      <c r="D8" s="1" t="s">
        <v>246</v>
      </c>
      <c r="E8" s="1">
        <f>SUBTOTAL(109,Elements13_3_191[Totais:])</f>
        <v>1</v>
      </c>
    </row>
  </sheetData>
  <mergeCells count="3">
    <mergeCell ref="A1:E2"/>
    <mergeCell ref="A4:E4"/>
    <mergeCell ref="A5:E5"/>
  </mergeCells>
  <hyperlinks>
    <hyperlink ref="A1" location="'13.3.19'!A1" display="CURVA 45º SOLDAVEL,COM DIAMETRO DE 25MM.FORNECIMENTO" xr:uid="{00000000-0004-0000-5300-000000000000}"/>
    <hyperlink ref="B1" location="'13.3.19'!A1" display="CURVA 45º SOLDAVEL,COM DIAMETRO DE 25MM.FORNECIMENTO" xr:uid="{00000000-0004-0000-5300-000001000000}"/>
    <hyperlink ref="C1" location="'13.3.19'!A1" display="CURVA 45º SOLDAVEL,COM DIAMETRO DE 25MM.FORNECIMENTO" xr:uid="{00000000-0004-0000-5300-000002000000}"/>
    <hyperlink ref="D1" location="'13.3.19'!A1" display="CURVA 45º SOLDAVEL,COM DIAMETRO DE 25MM.FORNECIMENTO" xr:uid="{00000000-0004-0000-5300-000003000000}"/>
    <hyperlink ref="E1" location="'13.3.19'!A1" display="CURVA 45º SOLDAVEL,COM DIAMETRO DE 25MM.FORNECIMENTO" xr:uid="{00000000-0004-0000-5300-000004000000}"/>
    <hyperlink ref="A2" location="'13.3.19'!A1" display="CURVA 45º SOLDAVEL,COM DIAMETRO DE 25MM.FORNECIMENTO" xr:uid="{00000000-0004-0000-5300-000005000000}"/>
    <hyperlink ref="B2" location="'13.3.19'!A1" display="CURVA 45º SOLDAVEL,COM DIAMETRO DE 25MM.FORNECIMENTO" xr:uid="{00000000-0004-0000-5300-000006000000}"/>
    <hyperlink ref="C2" location="'13.3.19'!A1" display="CURVA 45º SOLDAVEL,COM DIAMETRO DE 25MM.FORNECIMENTO" xr:uid="{00000000-0004-0000-5300-000007000000}"/>
    <hyperlink ref="D2" location="'13.3.19'!A1" display="CURVA 45º SOLDAVEL,COM DIAMETRO DE 25MM.FORNECIMENTO" xr:uid="{00000000-0004-0000-5300-000008000000}"/>
    <hyperlink ref="E2" location="'13.3.19'!A1" display="CURVA 45º SOLDAVEL,COM DIAMETRO DE 25MM.FORNECIMENTO" xr:uid="{00000000-0004-0000-5300-000009000000}"/>
    <hyperlink ref="A4" location="'13.3.19'!A1" display="Conexões de tubo (Afastamento)" xr:uid="{00000000-0004-0000-5300-00000A000000}"/>
    <hyperlink ref="B4" location="'13.3.19'!A1" display="Conexões de tubo (Afastamento)" xr:uid="{00000000-0004-0000-5300-00000B000000}"/>
    <hyperlink ref="C4" location="'13.3.19'!A1" display="Conexões de tubo (Afastamento)" xr:uid="{00000000-0004-0000-5300-00000C000000}"/>
    <hyperlink ref="D4" location="'13.3.19'!A1" display="Conexões de tubo (Afastamento)" xr:uid="{00000000-0004-0000-5300-00000D000000}"/>
    <hyperlink ref="E4" location="'13.3.19'!A1" display="Conexões de tubo (Afastamento)" xr:uid="{00000000-0004-0000-5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dimension ref="A1:E50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93</v>
      </c>
      <c r="B1" s="20" t="s">
        <v>93</v>
      </c>
      <c r="C1" s="20" t="s">
        <v>93</v>
      </c>
      <c r="D1" s="20" t="s">
        <v>93</v>
      </c>
      <c r="E1" s="20" t="s">
        <v>93</v>
      </c>
    </row>
    <row r="2" spans="1:5">
      <c r="A2" s="20" t="s">
        <v>93</v>
      </c>
      <c r="B2" s="20" t="s">
        <v>93</v>
      </c>
      <c r="C2" s="20" t="s">
        <v>93</v>
      </c>
      <c r="D2" s="20" t="s">
        <v>93</v>
      </c>
      <c r="E2" s="20" t="s">
        <v>93</v>
      </c>
    </row>
    <row r="4" spans="1:5">
      <c r="A4" s="15" t="s">
        <v>245</v>
      </c>
      <c r="B4" s="15" t="s">
        <v>245</v>
      </c>
      <c r="C4" s="15" t="s">
        <v>245</v>
      </c>
      <c r="D4" s="15" t="s">
        <v>245</v>
      </c>
      <c r="E4" s="15" t="s">
        <v>245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334</v>
      </c>
      <c r="D7" s="8" t="s">
        <v>825</v>
      </c>
      <c r="E7" s="8">
        <v>1</v>
      </c>
    </row>
    <row r="8" spans="1:5" ht="24.75">
      <c r="A8" s="8" t="s">
        <v>399</v>
      </c>
      <c r="B8" s="8" t="s">
        <v>253</v>
      </c>
      <c r="C8" s="8" t="s">
        <v>334</v>
      </c>
      <c r="D8" s="8" t="s">
        <v>826</v>
      </c>
      <c r="E8" s="8">
        <v>1</v>
      </c>
    </row>
    <row r="9" spans="1:5" ht="24.75">
      <c r="A9" s="8" t="s">
        <v>399</v>
      </c>
      <c r="B9" s="8" t="s">
        <v>253</v>
      </c>
      <c r="C9" s="8" t="s">
        <v>334</v>
      </c>
      <c r="D9" s="8" t="s">
        <v>827</v>
      </c>
      <c r="E9" s="8">
        <v>1</v>
      </c>
    </row>
    <row r="10" spans="1:5" ht="24.75">
      <c r="A10" s="8" t="s">
        <v>399</v>
      </c>
      <c r="B10" s="8" t="s">
        <v>253</v>
      </c>
      <c r="C10" s="8" t="s">
        <v>334</v>
      </c>
      <c r="D10" s="8" t="s">
        <v>828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334</v>
      </c>
      <c r="D11" s="8" t="s">
        <v>829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334</v>
      </c>
      <c r="D12" s="8" t="s">
        <v>830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334</v>
      </c>
      <c r="D13" s="8" t="s">
        <v>831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334</v>
      </c>
      <c r="D14" s="8" t="s">
        <v>832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334</v>
      </c>
      <c r="D15" s="8" t="s">
        <v>833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334</v>
      </c>
      <c r="D16" s="8" t="s">
        <v>834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334</v>
      </c>
      <c r="D17" s="8" t="s">
        <v>835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334</v>
      </c>
      <c r="D18" s="8" t="s">
        <v>836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334</v>
      </c>
      <c r="D19" s="8" t="s">
        <v>837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334</v>
      </c>
      <c r="D20" s="8" t="s">
        <v>838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334</v>
      </c>
      <c r="D21" s="8" t="s">
        <v>839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334</v>
      </c>
      <c r="D22" s="8" t="s">
        <v>840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334</v>
      </c>
      <c r="D23" s="8" t="s">
        <v>841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334</v>
      </c>
      <c r="D24" s="8" t="s">
        <v>842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334</v>
      </c>
      <c r="D25" s="8" t="s">
        <v>843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334</v>
      </c>
      <c r="D26" s="8" t="s">
        <v>844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334</v>
      </c>
      <c r="D27" s="8" t="s">
        <v>845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334</v>
      </c>
      <c r="D28" s="8" t="s">
        <v>846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334</v>
      </c>
      <c r="D29" s="8" t="s">
        <v>847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334</v>
      </c>
      <c r="D30" s="8" t="s">
        <v>848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334</v>
      </c>
      <c r="D31" s="8" t="s">
        <v>849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334</v>
      </c>
      <c r="D32" s="8" t="s">
        <v>850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334</v>
      </c>
      <c r="D33" s="8" t="s">
        <v>851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334</v>
      </c>
      <c r="D34" s="8" t="s">
        <v>852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334</v>
      </c>
      <c r="D35" s="8" t="s">
        <v>853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334</v>
      </c>
      <c r="D36" s="8" t="s">
        <v>854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334</v>
      </c>
      <c r="D37" s="8" t="s">
        <v>855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334</v>
      </c>
      <c r="D38" s="8" t="s">
        <v>856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334</v>
      </c>
      <c r="D39" s="8" t="s">
        <v>857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334</v>
      </c>
      <c r="D40" s="8" t="s">
        <v>858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334</v>
      </c>
      <c r="D41" s="8" t="s">
        <v>859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334</v>
      </c>
      <c r="D42" s="8" t="s">
        <v>860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334</v>
      </c>
      <c r="D43" s="8" t="s">
        <v>861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334</v>
      </c>
      <c r="D44" s="8" t="s">
        <v>862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334</v>
      </c>
      <c r="D45" s="8" t="s">
        <v>863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334</v>
      </c>
      <c r="D46" s="8" t="s">
        <v>864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334</v>
      </c>
      <c r="D47" s="8" t="s">
        <v>865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334</v>
      </c>
      <c r="D48" s="8" t="s">
        <v>866</v>
      </c>
      <c r="E48" s="8">
        <v>1</v>
      </c>
    </row>
    <row r="49" spans="1:5" ht="24.75">
      <c r="A49" s="8" t="s">
        <v>399</v>
      </c>
      <c r="B49" s="8" t="s">
        <v>253</v>
      </c>
      <c r="C49" s="8" t="s">
        <v>334</v>
      </c>
      <c r="D49" s="8" t="s">
        <v>867</v>
      </c>
      <c r="E49" s="8">
        <v>1</v>
      </c>
    </row>
    <row r="50" spans="1:5">
      <c r="A50" s="1" t="s">
        <v>246</v>
      </c>
      <c r="B50" s="1" t="s">
        <v>246</v>
      </c>
      <c r="C50" s="1">
        <f>SUBTOTAL(103,Elements13_3_201[Elemento])</f>
        <v>43</v>
      </c>
      <c r="D50" s="1" t="s">
        <v>246</v>
      </c>
      <c r="E50" s="1">
        <f>SUBTOTAL(109,Elements13_3_201[Totais:])</f>
        <v>43</v>
      </c>
    </row>
  </sheetData>
  <mergeCells count="3">
    <mergeCell ref="A1:E2"/>
    <mergeCell ref="A4:E4"/>
    <mergeCell ref="A5:E5"/>
  </mergeCells>
  <hyperlinks>
    <hyperlink ref="A1" location="'13.3.20'!A1" display="PROLONGAMENTO PARA CAIXA SIFONADA PVC 100x100mm" xr:uid="{00000000-0004-0000-5400-000000000000}"/>
    <hyperlink ref="B1" location="'13.3.20'!A1" display="PROLONGAMENTO PARA CAIXA SIFONADA PVC 100x100mm" xr:uid="{00000000-0004-0000-5400-000001000000}"/>
    <hyperlink ref="C1" location="'13.3.20'!A1" display="PROLONGAMENTO PARA CAIXA SIFONADA PVC 100x100mm" xr:uid="{00000000-0004-0000-5400-000002000000}"/>
    <hyperlink ref="D1" location="'13.3.20'!A1" display="PROLONGAMENTO PARA CAIXA SIFONADA PVC 100x100mm" xr:uid="{00000000-0004-0000-5400-000003000000}"/>
    <hyperlink ref="E1" location="'13.3.20'!A1" display="PROLONGAMENTO PARA CAIXA SIFONADA PVC 100x100mm" xr:uid="{00000000-0004-0000-5400-000004000000}"/>
    <hyperlink ref="A2" location="'13.3.20'!A1" display="PROLONGAMENTO PARA CAIXA SIFONADA PVC 100x100mm" xr:uid="{00000000-0004-0000-5400-000005000000}"/>
    <hyperlink ref="B2" location="'13.3.20'!A1" display="PROLONGAMENTO PARA CAIXA SIFONADA PVC 100x100mm" xr:uid="{00000000-0004-0000-5400-000006000000}"/>
    <hyperlink ref="C2" location="'13.3.20'!A1" display="PROLONGAMENTO PARA CAIXA SIFONADA PVC 100x100mm" xr:uid="{00000000-0004-0000-5400-000007000000}"/>
    <hyperlink ref="D2" location="'13.3.20'!A1" display="PROLONGAMENTO PARA CAIXA SIFONADA PVC 100x100mm" xr:uid="{00000000-0004-0000-5400-000008000000}"/>
    <hyperlink ref="E2" location="'13.3.20'!A1" display="PROLONGAMENTO PARA CAIXA SIFONADA PVC 100x100mm" xr:uid="{00000000-0004-0000-5400-000009000000}"/>
    <hyperlink ref="A4" location="'13.3.20'!A1" display="Peças hidrossanitárias (Ajuste altura furos)" xr:uid="{00000000-0004-0000-5400-00000A000000}"/>
    <hyperlink ref="B4" location="'13.3.20'!A1" display="Peças hidrossanitárias (Ajuste altura furos)" xr:uid="{00000000-0004-0000-5400-00000B000000}"/>
    <hyperlink ref="C4" location="'13.3.20'!A1" display="Peças hidrossanitárias (Ajuste altura furos)" xr:uid="{00000000-0004-0000-5400-00000C000000}"/>
    <hyperlink ref="D4" location="'13.3.20'!A1" display="Peças hidrossanitárias (Ajuste altura furos)" xr:uid="{00000000-0004-0000-5400-00000D000000}"/>
    <hyperlink ref="E4" location="'13.3.20'!A1" display="Peças hidrossanitárias (Ajuste altura furos)" xr:uid="{00000000-0004-0000-5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97</v>
      </c>
      <c r="B1" s="20" t="s">
        <v>97</v>
      </c>
      <c r="C1" s="20" t="s">
        <v>97</v>
      </c>
      <c r="D1" s="20" t="s">
        <v>97</v>
      </c>
      <c r="E1" s="20" t="s">
        <v>97</v>
      </c>
    </row>
    <row r="2" spans="1:5">
      <c r="A2" s="20" t="s">
        <v>97</v>
      </c>
      <c r="B2" s="20" t="s">
        <v>97</v>
      </c>
      <c r="C2" s="20" t="s">
        <v>97</v>
      </c>
      <c r="D2" s="20" t="s">
        <v>97</v>
      </c>
      <c r="E2" s="20" t="s">
        <v>97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868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869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SUBTOTAL(103,Elements13_3_211[Elemento])</f>
        <v>2</v>
      </c>
      <c r="D9" s="1" t="s">
        <v>246</v>
      </c>
      <c r="E9" s="1">
        <f>SUBTOTAL(109,Elements13_3_211[Totais:])</f>
        <v>2</v>
      </c>
    </row>
  </sheetData>
  <mergeCells count="3">
    <mergeCell ref="A1:E2"/>
    <mergeCell ref="A4:E4"/>
    <mergeCell ref="A5:E5"/>
  </mergeCells>
  <hyperlinks>
    <hyperlink ref="A1" location="'13.3.21'!A1" display="REDUCAO EXCENTRICA ESGOTO PVC 100x75mm" xr:uid="{00000000-0004-0000-5500-000000000000}"/>
    <hyperlink ref="B1" location="'13.3.21'!A1" display="REDUCAO EXCENTRICA ESGOTO PVC 100x75mm" xr:uid="{00000000-0004-0000-5500-000001000000}"/>
    <hyperlink ref="C1" location="'13.3.21'!A1" display="REDUCAO EXCENTRICA ESGOTO PVC 100x75mm" xr:uid="{00000000-0004-0000-5500-000002000000}"/>
    <hyperlink ref="D1" location="'13.3.21'!A1" display="REDUCAO EXCENTRICA ESGOTO PVC 100x75mm" xr:uid="{00000000-0004-0000-5500-000003000000}"/>
    <hyperlink ref="E1" location="'13.3.21'!A1" display="REDUCAO EXCENTRICA ESGOTO PVC 100x75mm" xr:uid="{00000000-0004-0000-5500-000004000000}"/>
    <hyperlink ref="A2" location="'13.3.21'!A1" display="REDUCAO EXCENTRICA ESGOTO PVC 100x75mm" xr:uid="{00000000-0004-0000-5500-000005000000}"/>
    <hyperlink ref="B2" location="'13.3.21'!A1" display="REDUCAO EXCENTRICA ESGOTO PVC 100x75mm" xr:uid="{00000000-0004-0000-5500-000006000000}"/>
    <hyperlink ref="C2" location="'13.3.21'!A1" display="REDUCAO EXCENTRICA ESGOTO PVC 100x75mm" xr:uid="{00000000-0004-0000-5500-000007000000}"/>
    <hyperlink ref="D2" location="'13.3.21'!A1" display="REDUCAO EXCENTRICA ESGOTO PVC 100x75mm" xr:uid="{00000000-0004-0000-5500-000008000000}"/>
    <hyperlink ref="E2" location="'13.3.21'!A1" display="REDUCAO EXCENTRICA ESGOTO PVC 100x75mm" xr:uid="{00000000-0004-0000-5500-000009000000}"/>
    <hyperlink ref="A4" location="'13.3.21'!A1" display="Conexões de tubo (Afastamento)" xr:uid="{00000000-0004-0000-5500-00000A000000}"/>
    <hyperlink ref="B4" location="'13.3.21'!A1" display="Conexões de tubo (Afastamento)" xr:uid="{00000000-0004-0000-5500-00000B000000}"/>
    <hyperlink ref="C4" location="'13.3.21'!A1" display="Conexões de tubo (Afastamento)" xr:uid="{00000000-0004-0000-5500-00000C000000}"/>
    <hyperlink ref="D4" location="'13.3.21'!A1" display="Conexões de tubo (Afastamento)" xr:uid="{00000000-0004-0000-5500-00000D000000}"/>
    <hyperlink ref="E4" location="'13.3.21'!A1" display="Conexões de tubo (Afastamento)" xr:uid="{00000000-0004-0000-5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dimension ref="A1:E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100</v>
      </c>
      <c r="B1" s="20" t="s">
        <v>100</v>
      </c>
      <c r="C1" s="20" t="s">
        <v>100</v>
      </c>
      <c r="D1" s="20" t="s">
        <v>100</v>
      </c>
      <c r="E1" s="20" t="s">
        <v>100</v>
      </c>
    </row>
    <row r="2" spans="1:5">
      <c r="A2" s="20" t="s">
        <v>100</v>
      </c>
      <c r="B2" s="20" t="s">
        <v>100</v>
      </c>
      <c r="C2" s="20" t="s">
        <v>100</v>
      </c>
      <c r="D2" s="20" t="s">
        <v>100</v>
      </c>
      <c r="E2" s="20" t="s">
        <v>100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870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871</v>
      </c>
      <c r="E8" s="8">
        <v>1</v>
      </c>
    </row>
    <row r="9" spans="1:5">
      <c r="A9" s="1" t="s">
        <v>246</v>
      </c>
      <c r="B9" s="1" t="s">
        <v>246</v>
      </c>
      <c r="C9" s="1">
        <f>SUBTOTAL(103,Elements13_3_221[Elemento])</f>
        <v>2</v>
      </c>
      <c r="D9" s="1" t="s">
        <v>246</v>
      </c>
      <c r="E9" s="1">
        <f>SUBTOTAL(109,Elements13_3_221[Totais:])</f>
        <v>2</v>
      </c>
    </row>
  </sheetData>
  <mergeCells count="3">
    <mergeCell ref="A1:E2"/>
    <mergeCell ref="A4:E4"/>
    <mergeCell ref="A5:E5"/>
  </mergeCells>
  <hyperlinks>
    <hyperlink ref="A1" location="'13.3.22'!A1" display="TE REDUCAO PVC ESGOTO COM ANEL DE BORRACHA 100x75mm" xr:uid="{00000000-0004-0000-5600-000000000000}"/>
    <hyperlink ref="B1" location="'13.3.22'!A1" display="TE REDUCAO PVC ESGOTO COM ANEL DE BORRACHA 100x75mm" xr:uid="{00000000-0004-0000-5600-000001000000}"/>
    <hyperlink ref="C1" location="'13.3.22'!A1" display="TE REDUCAO PVC ESGOTO COM ANEL DE BORRACHA 100x75mm" xr:uid="{00000000-0004-0000-5600-000002000000}"/>
    <hyperlink ref="D1" location="'13.3.22'!A1" display="TE REDUCAO PVC ESGOTO COM ANEL DE BORRACHA 100x75mm" xr:uid="{00000000-0004-0000-5600-000003000000}"/>
    <hyperlink ref="E1" location="'13.3.22'!A1" display="TE REDUCAO PVC ESGOTO COM ANEL DE BORRACHA 100x75mm" xr:uid="{00000000-0004-0000-5600-000004000000}"/>
    <hyperlink ref="A2" location="'13.3.22'!A1" display="TE REDUCAO PVC ESGOTO COM ANEL DE BORRACHA 100x75mm" xr:uid="{00000000-0004-0000-5600-000005000000}"/>
    <hyperlink ref="B2" location="'13.3.22'!A1" display="TE REDUCAO PVC ESGOTO COM ANEL DE BORRACHA 100x75mm" xr:uid="{00000000-0004-0000-5600-000006000000}"/>
    <hyperlink ref="C2" location="'13.3.22'!A1" display="TE REDUCAO PVC ESGOTO COM ANEL DE BORRACHA 100x75mm" xr:uid="{00000000-0004-0000-5600-000007000000}"/>
    <hyperlink ref="D2" location="'13.3.22'!A1" display="TE REDUCAO PVC ESGOTO COM ANEL DE BORRACHA 100x75mm" xr:uid="{00000000-0004-0000-5600-000008000000}"/>
    <hyperlink ref="E2" location="'13.3.22'!A1" display="TE REDUCAO PVC ESGOTO COM ANEL DE BORRACHA 100x75mm" xr:uid="{00000000-0004-0000-5600-000009000000}"/>
    <hyperlink ref="A4" location="'13.3.22'!A1" display="Conexões de tubo (Afastamento)" xr:uid="{00000000-0004-0000-5600-00000A000000}"/>
    <hyperlink ref="B4" location="'13.3.22'!A1" display="Conexões de tubo (Afastamento)" xr:uid="{00000000-0004-0000-5600-00000B000000}"/>
    <hyperlink ref="C4" location="'13.3.22'!A1" display="Conexões de tubo (Afastamento)" xr:uid="{00000000-0004-0000-5600-00000C000000}"/>
    <hyperlink ref="D4" location="'13.3.22'!A1" display="Conexões de tubo (Afastamento)" xr:uid="{00000000-0004-0000-5600-00000D000000}"/>
    <hyperlink ref="E4" location="'13.3.22'!A1" display="Conexões de tubo (Afastamento)" xr:uid="{00000000-0004-0000-5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1:E1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103</v>
      </c>
      <c r="B1" s="20" t="s">
        <v>103</v>
      </c>
      <c r="C1" s="20" t="s">
        <v>103</v>
      </c>
      <c r="D1" s="20" t="s">
        <v>103</v>
      </c>
      <c r="E1" s="20" t="s">
        <v>103</v>
      </c>
    </row>
    <row r="2" spans="1:5">
      <c r="A2" s="20" t="s">
        <v>103</v>
      </c>
      <c r="B2" s="20" t="s">
        <v>103</v>
      </c>
      <c r="C2" s="20" t="s">
        <v>103</v>
      </c>
      <c r="D2" s="20" t="s">
        <v>103</v>
      </c>
      <c r="E2" s="20" t="s">
        <v>103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872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873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874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875</v>
      </c>
      <c r="E10" s="8">
        <v>1</v>
      </c>
    </row>
    <row r="11" spans="1:5">
      <c r="A11" s="1" t="s">
        <v>246</v>
      </c>
      <c r="B11" s="1" t="s">
        <v>246</v>
      </c>
      <c r="C11" s="1">
        <f>SUBTOTAL(103,Elements13_3_231[Elemento])</f>
        <v>4</v>
      </c>
      <c r="D11" s="1" t="s">
        <v>246</v>
      </c>
      <c r="E11" s="1">
        <f>SUBTOTAL(109,Elements13_3_231[Totais:])</f>
        <v>4</v>
      </c>
    </row>
  </sheetData>
  <mergeCells count="3">
    <mergeCell ref="A1:E2"/>
    <mergeCell ref="A4:E4"/>
    <mergeCell ref="A5:E5"/>
  </mergeCells>
  <hyperlinks>
    <hyperlink ref="A1" location="'13.3.23'!A1" display="TE PVC SOLDAVEL 50mm" xr:uid="{00000000-0004-0000-5700-000000000000}"/>
    <hyperlink ref="B1" location="'13.3.23'!A1" display="TE PVC SOLDAVEL 50mm" xr:uid="{00000000-0004-0000-5700-000001000000}"/>
    <hyperlink ref="C1" location="'13.3.23'!A1" display="TE PVC SOLDAVEL 50mm" xr:uid="{00000000-0004-0000-5700-000002000000}"/>
    <hyperlink ref="D1" location="'13.3.23'!A1" display="TE PVC SOLDAVEL 50mm" xr:uid="{00000000-0004-0000-5700-000003000000}"/>
    <hyperlink ref="E1" location="'13.3.23'!A1" display="TE PVC SOLDAVEL 50mm" xr:uid="{00000000-0004-0000-5700-000004000000}"/>
    <hyperlink ref="A2" location="'13.3.23'!A1" display="TE PVC SOLDAVEL 50mm" xr:uid="{00000000-0004-0000-5700-000005000000}"/>
    <hyperlink ref="B2" location="'13.3.23'!A1" display="TE PVC SOLDAVEL 50mm" xr:uid="{00000000-0004-0000-5700-000006000000}"/>
    <hyperlink ref="C2" location="'13.3.23'!A1" display="TE PVC SOLDAVEL 50mm" xr:uid="{00000000-0004-0000-5700-000007000000}"/>
    <hyperlink ref="D2" location="'13.3.23'!A1" display="TE PVC SOLDAVEL 50mm" xr:uid="{00000000-0004-0000-5700-000008000000}"/>
    <hyperlink ref="E2" location="'13.3.23'!A1" display="TE PVC SOLDAVEL 50mm" xr:uid="{00000000-0004-0000-5700-000009000000}"/>
    <hyperlink ref="A4" location="'13.3.23'!A1" display="Conexões de tubo (Afastamento)" xr:uid="{00000000-0004-0000-5700-00000A000000}"/>
    <hyperlink ref="B4" location="'13.3.23'!A1" display="Conexões de tubo (Afastamento)" xr:uid="{00000000-0004-0000-5700-00000B000000}"/>
    <hyperlink ref="C4" location="'13.3.23'!A1" display="Conexões de tubo (Afastamento)" xr:uid="{00000000-0004-0000-5700-00000C000000}"/>
    <hyperlink ref="D4" location="'13.3.23'!A1" display="Conexões de tubo (Afastamento)" xr:uid="{00000000-0004-0000-5700-00000D000000}"/>
    <hyperlink ref="E4" location="'13.3.23'!A1" display="Conexões de tubo (Afastamento)" xr:uid="{00000000-0004-0000-5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dimension ref="A1:E36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106</v>
      </c>
      <c r="B1" s="20" t="s">
        <v>106</v>
      </c>
      <c r="C1" s="20" t="s">
        <v>106</v>
      </c>
      <c r="D1" s="20" t="s">
        <v>106</v>
      </c>
      <c r="E1" s="20" t="s">
        <v>106</v>
      </c>
    </row>
    <row r="2" spans="1:5">
      <c r="A2" s="20" t="s">
        <v>106</v>
      </c>
      <c r="B2" s="20" t="s">
        <v>106</v>
      </c>
      <c r="C2" s="20" t="s">
        <v>106</v>
      </c>
      <c r="D2" s="20" t="s">
        <v>106</v>
      </c>
      <c r="E2" s="20" t="s">
        <v>106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876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877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878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879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880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881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882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883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884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885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886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887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888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889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890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891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892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893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894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895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896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897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898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899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900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901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902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903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904</v>
      </c>
      <c r="E35" s="8">
        <v>1</v>
      </c>
    </row>
    <row r="36" spans="1:5">
      <c r="A36" s="1" t="s">
        <v>246</v>
      </c>
      <c r="B36" s="1" t="s">
        <v>246</v>
      </c>
      <c r="C36" s="1">
        <f>SUBTOTAL(103,Elements13_3_241[Elemento])</f>
        <v>29</v>
      </c>
      <c r="D36" s="1" t="s">
        <v>246</v>
      </c>
      <c r="E36" s="1">
        <f>SUBTOTAL(109,Elements13_3_241[Totais:])</f>
        <v>29</v>
      </c>
    </row>
  </sheetData>
  <mergeCells count="3">
    <mergeCell ref="A1:E2"/>
    <mergeCell ref="A4:E4"/>
    <mergeCell ref="A5:E5"/>
  </mergeCells>
  <hyperlinks>
    <hyperlink ref="A1" location="'13.3.24'!A1" display="LUVA DE REDUÇÃO, PVC, SOLDÁVEL, DN 32MM X 25MM, INSTALADO EM RAMAL OU SUB-RAMAL DE ÁGUA - FORNECIMENTO E INSTALAÇÃO. AF_06/2022" xr:uid="{00000000-0004-0000-5800-000000000000}"/>
    <hyperlink ref="B1" location="'13.3.24'!A1" display="LUVA DE REDUÇÃO, PVC, SOLDÁVEL, DN 32MM X 25MM, INSTALADO EM RAMAL OU SUB-RAMAL DE ÁGUA - FORNECIMENTO E INSTALAÇÃO. AF_06/2022" xr:uid="{00000000-0004-0000-5800-000001000000}"/>
    <hyperlink ref="C1" location="'13.3.24'!A1" display="LUVA DE REDUÇÃO, PVC, SOLDÁVEL, DN 32MM X 25MM, INSTALADO EM RAMAL OU SUB-RAMAL DE ÁGUA - FORNECIMENTO E INSTALAÇÃO. AF_06/2022" xr:uid="{00000000-0004-0000-5800-000002000000}"/>
    <hyperlink ref="D1" location="'13.3.24'!A1" display="LUVA DE REDUÇÃO, PVC, SOLDÁVEL, DN 32MM X 25MM, INSTALADO EM RAMAL OU SUB-RAMAL DE ÁGUA - FORNECIMENTO E INSTALAÇÃO. AF_06/2022" xr:uid="{00000000-0004-0000-5800-000003000000}"/>
    <hyperlink ref="E1" location="'13.3.24'!A1" display="LUVA DE REDUÇÃO, PVC, SOLDÁVEL, DN 32MM X 25MM, INSTALADO EM RAMAL OU SUB-RAMAL DE ÁGUA - FORNECIMENTO E INSTALAÇÃO. AF_06/2022" xr:uid="{00000000-0004-0000-5800-000004000000}"/>
    <hyperlink ref="A2" location="'13.3.24'!A1" display="LUVA DE REDUÇÃO, PVC, SOLDÁVEL, DN 32MM X 25MM, INSTALADO EM RAMAL OU SUB-RAMAL DE ÁGUA - FORNECIMENTO E INSTALAÇÃO. AF_06/2022" xr:uid="{00000000-0004-0000-5800-000005000000}"/>
    <hyperlink ref="B2" location="'13.3.24'!A1" display="LUVA DE REDUÇÃO, PVC, SOLDÁVEL, DN 32MM X 25MM, INSTALADO EM RAMAL OU SUB-RAMAL DE ÁGUA - FORNECIMENTO E INSTALAÇÃO. AF_06/2022" xr:uid="{00000000-0004-0000-5800-000006000000}"/>
    <hyperlink ref="C2" location="'13.3.24'!A1" display="LUVA DE REDUÇÃO, PVC, SOLDÁVEL, DN 32MM X 25MM, INSTALADO EM RAMAL OU SUB-RAMAL DE ÁGUA - FORNECIMENTO E INSTALAÇÃO. AF_06/2022" xr:uid="{00000000-0004-0000-5800-000007000000}"/>
    <hyperlink ref="D2" location="'13.3.24'!A1" display="LUVA DE REDUÇÃO, PVC, SOLDÁVEL, DN 32MM X 25MM, INSTALADO EM RAMAL OU SUB-RAMAL DE ÁGUA - FORNECIMENTO E INSTALAÇÃO. AF_06/2022" xr:uid="{00000000-0004-0000-5800-000008000000}"/>
    <hyperlink ref="E2" location="'13.3.24'!A1" display="LUVA DE REDUÇÃO, PVC, SOLDÁVEL, DN 32MM X 25MM, INSTALADO EM RAMAL OU SUB-RAMAL DE ÁGUA - FORNECIMENTO E INSTALAÇÃO. AF_06/2022" xr:uid="{00000000-0004-0000-5800-000009000000}"/>
    <hyperlink ref="A4" location="'13.3.24'!A1" display="Conexões de tubo (Afastamento)" xr:uid="{00000000-0004-0000-5800-00000A000000}"/>
    <hyperlink ref="B4" location="'13.3.24'!A1" display="Conexões de tubo (Afastamento)" xr:uid="{00000000-0004-0000-5800-00000B000000}"/>
    <hyperlink ref="C4" location="'13.3.24'!A1" display="Conexões de tubo (Afastamento)" xr:uid="{00000000-0004-0000-5800-00000C000000}"/>
    <hyperlink ref="D4" location="'13.3.24'!A1" display="Conexões de tubo (Afastamento)" xr:uid="{00000000-0004-0000-5800-00000D000000}"/>
    <hyperlink ref="E4" location="'13.3.24'!A1" display="Conexões de tubo (Afastamento)" xr:uid="{00000000-0004-0000-5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8"/>
  <sheetViews>
    <sheetView showGridLines="0" workbookViewId="0"/>
  </sheetViews>
  <sheetFormatPr defaultRowHeight="1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>
      <c r="A2" s="5" t="s">
        <v>41</v>
      </c>
      <c r="B2" s="5" t="s">
        <v>42</v>
      </c>
      <c r="C2" s="5" t="s">
        <v>25</v>
      </c>
      <c r="D2" s="5" t="s">
        <v>43</v>
      </c>
      <c r="E2" s="5" t="s">
        <v>44</v>
      </c>
      <c r="F2" s="5" t="s">
        <v>45</v>
      </c>
      <c r="G2" s="5">
        <v>12.037595</v>
      </c>
      <c r="H2" s="5">
        <v>14.4270576075</v>
      </c>
      <c r="I2" s="5">
        <v>2827.8475616460751</v>
      </c>
    </row>
    <row r="5" spans="1:9">
      <c r="A5" s="13" t="s">
        <v>240</v>
      </c>
      <c r="B5" s="13" t="s">
        <v>240</v>
      </c>
      <c r="C5" s="13" t="s">
        <v>240</v>
      </c>
      <c r="D5" s="13" t="s">
        <v>240</v>
      </c>
      <c r="E5" s="13" t="s">
        <v>240</v>
      </c>
    </row>
    <row r="6" spans="1:9">
      <c r="A6" s="14"/>
      <c r="B6" s="14"/>
      <c r="C6" s="14"/>
      <c r="D6" s="14"/>
      <c r="E6" s="14"/>
    </row>
    <row r="7" spans="1:9">
      <c r="A7" s="7" t="s">
        <v>1</v>
      </c>
      <c r="B7" s="7" t="s">
        <v>241</v>
      </c>
      <c r="C7" s="7" t="s">
        <v>242</v>
      </c>
      <c r="D7" s="7" t="s">
        <v>243</v>
      </c>
      <c r="E7" s="7" t="s">
        <v>9</v>
      </c>
    </row>
    <row r="8" spans="1:9">
      <c r="A8" s="8">
        <v>1</v>
      </c>
      <c r="B8" s="8" t="s">
        <v>244</v>
      </c>
      <c r="C8" s="8">
        <v>171</v>
      </c>
      <c r="D8" s="8" t="s">
        <v>292</v>
      </c>
      <c r="E8" s="8">
        <v>196.01384954872424</v>
      </c>
    </row>
    <row r="9" spans="1:9">
      <c r="A9" s="8" t="s">
        <v>246</v>
      </c>
      <c r="B9" s="8" t="s">
        <v>246</v>
      </c>
      <c r="C9" s="8">
        <f>SUBTOTAL(109,Criteria_Summary13.3.7[Elementos])</f>
        <v>171</v>
      </c>
      <c r="D9" s="8" t="s">
        <v>246</v>
      </c>
      <c r="E9" s="8">
        <f>SUBTOTAL(109,Criteria_Summary13.3.7[Total])</f>
        <v>196.01384954872424</v>
      </c>
    </row>
    <row r="10" spans="1:9">
      <c r="A10" s="9" t="s">
        <v>247</v>
      </c>
      <c r="B10" s="9">
        <v>0</v>
      </c>
      <c r="C10" s="10"/>
      <c r="D10" s="10"/>
      <c r="E10" s="9">
        <v>196.01</v>
      </c>
    </row>
    <row r="13" spans="1:9">
      <c r="A13" s="15" t="s">
        <v>292</v>
      </c>
      <c r="B13" s="15" t="s">
        <v>292</v>
      </c>
      <c r="C13" s="15" t="s">
        <v>292</v>
      </c>
      <c r="D13" s="15" t="s">
        <v>292</v>
      </c>
      <c r="E13" s="15" t="s">
        <v>292</v>
      </c>
    </row>
    <row r="14" spans="1:9">
      <c r="A14" s="16"/>
      <c r="B14" s="16"/>
      <c r="C14" s="16"/>
      <c r="D14" s="16"/>
      <c r="E14" s="16"/>
    </row>
    <row r="15" spans="1:9">
      <c r="A15" s="11" t="s">
        <v>241</v>
      </c>
      <c r="B15" s="11" t="s">
        <v>242</v>
      </c>
      <c r="C15" s="17" t="s">
        <v>248</v>
      </c>
      <c r="D15" s="17" t="s">
        <v>248</v>
      </c>
      <c r="E15" s="11" t="s">
        <v>9</v>
      </c>
    </row>
    <row r="16" spans="1:9">
      <c r="A16" s="8" t="s">
        <v>244</v>
      </c>
      <c r="B16" s="8">
        <v>171</v>
      </c>
      <c r="C16" s="18" t="s">
        <v>293</v>
      </c>
      <c r="D16" s="18" t="s">
        <v>293</v>
      </c>
      <c r="E16" s="8">
        <v>196.01384954872424</v>
      </c>
    </row>
    <row r="18" spans="1:5">
      <c r="A18" s="19" t="s">
        <v>250</v>
      </c>
      <c r="B18" s="19" t="s">
        <v>250</v>
      </c>
      <c r="C18" s="19" t="s">
        <v>250</v>
      </c>
      <c r="D18" s="19" t="s">
        <v>250</v>
      </c>
      <c r="E18" s="19" t="s">
        <v>250</v>
      </c>
    </row>
    <row r="19" spans="1:5">
      <c r="A19" s="17" t="s">
        <v>251</v>
      </c>
      <c r="B19" s="17" t="s">
        <v>251</v>
      </c>
      <c r="C19" s="17" t="s">
        <v>251</v>
      </c>
      <c r="D19" s="11" t="s">
        <v>252</v>
      </c>
      <c r="E19" s="11"/>
    </row>
    <row r="20" spans="1:5">
      <c r="A20" s="8"/>
      <c r="B20" s="8"/>
      <c r="C20" s="8"/>
      <c r="D20" s="8" t="s">
        <v>253</v>
      </c>
      <c r="E20" s="8" t="s">
        <v>254</v>
      </c>
    </row>
    <row r="22" spans="1:5">
      <c r="A22" s="19" t="s">
        <v>255</v>
      </c>
      <c r="B22" s="19" t="s">
        <v>255</v>
      </c>
      <c r="C22" s="19" t="s">
        <v>255</v>
      </c>
      <c r="D22" s="19" t="s">
        <v>255</v>
      </c>
      <c r="E22" s="19" t="s">
        <v>255</v>
      </c>
    </row>
    <row r="23" spans="1:5">
      <c r="A23" s="17" t="s">
        <v>256</v>
      </c>
      <c r="B23" s="11"/>
      <c r="C23" s="11"/>
      <c r="D23" s="11" t="s">
        <v>241</v>
      </c>
      <c r="E23" s="11"/>
    </row>
    <row r="24" spans="1:5">
      <c r="A24" s="18" t="s">
        <v>294</v>
      </c>
      <c r="B24" s="18" t="s">
        <v>294</v>
      </c>
      <c r="C24" s="18" t="s">
        <v>294</v>
      </c>
      <c r="D24" s="8" t="s">
        <v>295</v>
      </c>
      <c r="E24" s="8" t="s">
        <v>254</v>
      </c>
    </row>
    <row r="26" spans="1:5">
      <c r="A26" s="19" t="s">
        <v>259</v>
      </c>
      <c r="B26" s="19" t="s">
        <v>259</v>
      </c>
      <c r="C26" s="19" t="s">
        <v>259</v>
      </c>
      <c r="D26" s="19" t="s">
        <v>259</v>
      </c>
      <c r="E26" s="19" t="s">
        <v>259</v>
      </c>
    </row>
    <row r="27" spans="1:5">
      <c r="A27" s="11" t="s">
        <v>241</v>
      </c>
      <c r="B27" s="11" t="s">
        <v>260</v>
      </c>
      <c r="C27" s="11" t="s">
        <v>261</v>
      </c>
      <c r="D27" s="11" t="s">
        <v>262</v>
      </c>
      <c r="E27" s="11"/>
    </row>
    <row r="28" spans="1:5">
      <c r="A28" s="8" t="s">
        <v>263</v>
      </c>
      <c r="B28" s="8" t="s">
        <v>271</v>
      </c>
      <c r="C28" s="8" t="s">
        <v>296</v>
      </c>
      <c r="D28" s="8" t="s">
        <v>297</v>
      </c>
      <c r="E28" s="8" t="s">
        <v>267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3'!A1" display="13.3.7" xr:uid="{00000000-0004-0000-0800-000000000000}"/>
    <hyperlink ref="F2" location="'13.3.7E'!A1" display="196,01" xr:uid="{00000000-0004-0000-0800-000001000000}"/>
    <hyperlink ref="E10" location="'13.3.7E'!A1" display="'13.3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dimension ref="A1:E2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110</v>
      </c>
      <c r="B1" s="20" t="s">
        <v>110</v>
      </c>
      <c r="C1" s="20" t="s">
        <v>110</v>
      </c>
      <c r="D1" s="20" t="s">
        <v>110</v>
      </c>
      <c r="E1" s="20" t="s">
        <v>110</v>
      </c>
    </row>
    <row r="2" spans="1:5">
      <c r="A2" s="20" t="s">
        <v>110</v>
      </c>
      <c r="B2" s="20" t="s">
        <v>110</v>
      </c>
      <c r="C2" s="20" t="s">
        <v>110</v>
      </c>
      <c r="D2" s="20" t="s">
        <v>110</v>
      </c>
      <c r="E2" s="20" t="s">
        <v>110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905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906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907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908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909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910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911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912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913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914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915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916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917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918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919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920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921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922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923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924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925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926</v>
      </c>
      <c r="E28" s="8">
        <v>1</v>
      </c>
    </row>
    <row r="29" spans="1:5">
      <c r="A29" s="1" t="s">
        <v>246</v>
      </c>
      <c r="B29" s="1" t="s">
        <v>246</v>
      </c>
      <c r="C29" s="1">
        <f>SUBTOTAL(103,Elements13_3_251[Elemento])</f>
        <v>22</v>
      </c>
      <c r="D29" s="1" t="s">
        <v>246</v>
      </c>
      <c r="E29" s="1">
        <f>SUBTOTAL(109,Elements13_3_251[Totais:])</f>
        <v>22</v>
      </c>
    </row>
  </sheetData>
  <mergeCells count="3">
    <mergeCell ref="A1:E2"/>
    <mergeCell ref="A4:E4"/>
    <mergeCell ref="A5:E5"/>
  </mergeCells>
  <hyperlinks>
    <hyperlink ref="A1" location="'13.3.25'!A1" display="TE PVC SOLDAVEL 25mm" xr:uid="{00000000-0004-0000-5900-000000000000}"/>
    <hyperlink ref="B1" location="'13.3.25'!A1" display="TE PVC SOLDAVEL 25mm" xr:uid="{00000000-0004-0000-5900-000001000000}"/>
    <hyperlink ref="C1" location="'13.3.25'!A1" display="TE PVC SOLDAVEL 25mm" xr:uid="{00000000-0004-0000-5900-000002000000}"/>
    <hyperlink ref="D1" location="'13.3.25'!A1" display="TE PVC SOLDAVEL 25mm" xr:uid="{00000000-0004-0000-5900-000003000000}"/>
    <hyperlink ref="E1" location="'13.3.25'!A1" display="TE PVC SOLDAVEL 25mm" xr:uid="{00000000-0004-0000-5900-000004000000}"/>
    <hyperlink ref="A2" location="'13.3.25'!A1" display="TE PVC SOLDAVEL 25mm" xr:uid="{00000000-0004-0000-5900-000005000000}"/>
    <hyperlink ref="B2" location="'13.3.25'!A1" display="TE PVC SOLDAVEL 25mm" xr:uid="{00000000-0004-0000-5900-000006000000}"/>
    <hyperlink ref="C2" location="'13.3.25'!A1" display="TE PVC SOLDAVEL 25mm" xr:uid="{00000000-0004-0000-5900-000007000000}"/>
    <hyperlink ref="D2" location="'13.3.25'!A1" display="TE PVC SOLDAVEL 25mm" xr:uid="{00000000-0004-0000-5900-000008000000}"/>
    <hyperlink ref="E2" location="'13.3.25'!A1" display="TE PVC SOLDAVEL 25mm" xr:uid="{00000000-0004-0000-5900-000009000000}"/>
    <hyperlink ref="A4" location="'13.3.25'!A1" display="Conexões de tubo (Afastamento)" xr:uid="{00000000-0004-0000-5900-00000A000000}"/>
    <hyperlink ref="B4" location="'13.3.25'!A1" display="Conexões de tubo (Afastamento)" xr:uid="{00000000-0004-0000-5900-00000B000000}"/>
    <hyperlink ref="C4" location="'13.3.25'!A1" display="Conexões de tubo (Afastamento)" xr:uid="{00000000-0004-0000-5900-00000C000000}"/>
    <hyperlink ref="D4" location="'13.3.25'!A1" display="Conexões de tubo (Afastamento)" xr:uid="{00000000-0004-0000-5900-00000D000000}"/>
    <hyperlink ref="E4" location="'13.3.25'!A1" display="Conexões de tubo (Afastamento)" xr:uid="{00000000-0004-0000-5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113</v>
      </c>
      <c r="B1" s="20" t="s">
        <v>113</v>
      </c>
      <c r="C1" s="20" t="s">
        <v>113</v>
      </c>
      <c r="D1" s="20" t="s">
        <v>113</v>
      </c>
      <c r="E1" s="20" t="s">
        <v>113</v>
      </c>
    </row>
    <row r="2" spans="1:5">
      <c r="A2" s="20" t="s">
        <v>113</v>
      </c>
      <c r="B2" s="20" t="s">
        <v>113</v>
      </c>
      <c r="C2" s="20" t="s">
        <v>113</v>
      </c>
      <c r="D2" s="20" t="s">
        <v>113</v>
      </c>
      <c r="E2" s="20" t="s">
        <v>113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927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SUBTOTAL(103,Elements13_3_261[Elemento])</f>
        <v>1</v>
      </c>
      <c r="D8" s="1" t="s">
        <v>246</v>
      </c>
      <c r="E8" s="1">
        <f>SUBTOTAL(109,Elements13_3_261[Totais:])</f>
        <v>1</v>
      </c>
    </row>
  </sheetData>
  <mergeCells count="3">
    <mergeCell ref="A1:E2"/>
    <mergeCell ref="A4:E4"/>
    <mergeCell ref="A5:E5"/>
  </mergeCells>
  <hyperlinks>
    <hyperlink ref="A1" location="'13.3.26'!A1" display="LUVA SIMPLES, PVC, SÉRIE NORMAL, ESGOTO PREDIAL, DN 150 MM, JUNTA ELÁSTICA, FORNECIDO E INSTALADO EM SUBCOLETOR AÉREO DE ESGOTO SANITÁRIO. AF_08/2022" xr:uid="{00000000-0004-0000-5A00-000000000000}"/>
    <hyperlink ref="B1" location="'13.3.26'!A1" display="LUVA SIMPLES, PVC, SÉRIE NORMAL, ESGOTO PREDIAL, DN 150 MM, JUNTA ELÁSTICA, FORNECIDO E INSTALADO EM SUBCOLETOR AÉREO DE ESGOTO SANITÁRIO. AF_08/2022" xr:uid="{00000000-0004-0000-5A00-000001000000}"/>
    <hyperlink ref="C1" location="'13.3.26'!A1" display="LUVA SIMPLES, PVC, SÉRIE NORMAL, ESGOTO PREDIAL, DN 150 MM, JUNTA ELÁSTICA, FORNECIDO E INSTALADO EM SUBCOLETOR AÉREO DE ESGOTO SANITÁRIO. AF_08/2022" xr:uid="{00000000-0004-0000-5A00-000002000000}"/>
    <hyperlink ref="D1" location="'13.3.26'!A1" display="LUVA SIMPLES, PVC, SÉRIE NORMAL, ESGOTO PREDIAL, DN 150 MM, JUNTA ELÁSTICA, FORNECIDO E INSTALADO EM SUBCOLETOR AÉREO DE ESGOTO SANITÁRIO. AF_08/2022" xr:uid="{00000000-0004-0000-5A00-000003000000}"/>
    <hyperlink ref="E1" location="'13.3.26'!A1" display="LUVA SIMPLES, PVC, SÉRIE NORMAL, ESGOTO PREDIAL, DN 150 MM, JUNTA ELÁSTICA, FORNECIDO E INSTALADO EM SUBCOLETOR AÉREO DE ESGOTO SANITÁRIO. AF_08/2022" xr:uid="{00000000-0004-0000-5A00-000004000000}"/>
    <hyperlink ref="A2" location="'13.3.26'!A1" display="LUVA SIMPLES, PVC, SÉRIE NORMAL, ESGOTO PREDIAL, DN 150 MM, JUNTA ELÁSTICA, FORNECIDO E INSTALADO EM SUBCOLETOR AÉREO DE ESGOTO SANITÁRIO. AF_08/2022" xr:uid="{00000000-0004-0000-5A00-000005000000}"/>
    <hyperlink ref="B2" location="'13.3.26'!A1" display="LUVA SIMPLES, PVC, SÉRIE NORMAL, ESGOTO PREDIAL, DN 150 MM, JUNTA ELÁSTICA, FORNECIDO E INSTALADO EM SUBCOLETOR AÉREO DE ESGOTO SANITÁRIO. AF_08/2022" xr:uid="{00000000-0004-0000-5A00-000006000000}"/>
    <hyperlink ref="C2" location="'13.3.26'!A1" display="LUVA SIMPLES, PVC, SÉRIE NORMAL, ESGOTO PREDIAL, DN 150 MM, JUNTA ELÁSTICA, FORNECIDO E INSTALADO EM SUBCOLETOR AÉREO DE ESGOTO SANITÁRIO. AF_08/2022" xr:uid="{00000000-0004-0000-5A00-000007000000}"/>
    <hyperlink ref="D2" location="'13.3.26'!A1" display="LUVA SIMPLES, PVC, SÉRIE NORMAL, ESGOTO PREDIAL, DN 150 MM, JUNTA ELÁSTICA, FORNECIDO E INSTALADO EM SUBCOLETOR AÉREO DE ESGOTO SANITÁRIO. AF_08/2022" xr:uid="{00000000-0004-0000-5A00-000008000000}"/>
    <hyperlink ref="E2" location="'13.3.26'!A1" display="LUVA SIMPLES, PVC, SÉRIE NORMAL, ESGOTO PREDIAL, DN 150 MM, JUNTA ELÁSTICA, FORNECIDO E INSTALADO EM SUBCOLETOR AÉREO DE ESGOTO SANITÁRIO. AF_08/2022" xr:uid="{00000000-0004-0000-5A00-000009000000}"/>
    <hyperlink ref="A4" location="'13.3.26'!A1" display="Conexões de tubo (Afastamento)" xr:uid="{00000000-0004-0000-5A00-00000A000000}"/>
    <hyperlink ref="B4" location="'13.3.26'!A1" display="Conexões de tubo (Afastamento)" xr:uid="{00000000-0004-0000-5A00-00000B000000}"/>
    <hyperlink ref="C4" location="'13.3.26'!A1" display="Conexões de tubo (Afastamento)" xr:uid="{00000000-0004-0000-5A00-00000C000000}"/>
    <hyperlink ref="D4" location="'13.3.26'!A1" display="Conexões de tubo (Afastamento)" xr:uid="{00000000-0004-0000-5A00-00000D000000}"/>
    <hyperlink ref="E4" location="'13.3.26'!A1" display="Conexões de tubo (Afastamento)" xr:uid="{00000000-0004-0000-5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dimension ref="A1:E8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116</v>
      </c>
      <c r="B1" s="20" t="s">
        <v>116</v>
      </c>
      <c r="C1" s="20" t="s">
        <v>116</v>
      </c>
      <c r="D1" s="20" t="s">
        <v>116</v>
      </c>
      <c r="E1" s="20" t="s">
        <v>116</v>
      </c>
    </row>
    <row r="2" spans="1:5">
      <c r="A2" s="20" t="s">
        <v>116</v>
      </c>
      <c r="B2" s="20" t="s">
        <v>116</v>
      </c>
      <c r="C2" s="20" t="s">
        <v>116</v>
      </c>
      <c r="D2" s="20" t="s">
        <v>116</v>
      </c>
      <c r="E2" s="20" t="s">
        <v>116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927</v>
      </c>
      <c r="E7" s="8">
        <v>1</v>
      </c>
    </row>
    <row r="8" spans="1:5">
      <c r="A8" s="1" t="s">
        <v>246</v>
      </c>
      <c r="B8" s="1" t="s">
        <v>246</v>
      </c>
      <c r="C8" s="1">
        <f>SUBTOTAL(103,Elements13_3_271[Elemento])</f>
        <v>1</v>
      </c>
      <c r="D8" s="1" t="s">
        <v>246</v>
      </c>
      <c r="E8" s="1">
        <f>SUBTOTAL(109,Elements13_3_271[Totais:])</f>
        <v>1</v>
      </c>
    </row>
  </sheetData>
  <mergeCells count="3">
    <mergeCell ref="A1:E2"/>
    <mergeCell ref="A4:E4"/>
    <mergeCell ref="A5:E5"/>
  </mergeCells>
  <hyperlinks>
    <hyperlink ref="A1" location="'13.3.27'!A1" display="LUVA SIMPLES, PVC, SERIE R, ÁGUA PLUVIAL, DN 150 MM, JUNTA ELÁSTICA, FORNECIDO E INSTALADO EM CONDUTORES VERTICAIS DE ÁGUAS PLUVIAIS. AF_06/2022" xr:uid="{00000000-0004-0000-5B00-000000000000}"/>
    <hyperlink ref="B1" location="'13.3.27'!A1" display="LUVA SIMPLES, PVC, SERIE R, ÁGUA PLUVIAL, DN 150 MM, JUNTA ELÁSTICA, FORNECIDO E INSTALADO EM CONDUTORES VERTICAIS DE ÁGUAS PLUVIAIS. AF_06/2022" xr:uid="{00000000-0004-0000-5B00-000001000000}"/>
    <hyperlink ref="C1" location="'13.3.27'!A1" display="LUVA SIMPLES, PVC, SERIE R, ÁGUA PLUVIAL, DN 150 MM, JUNTA ELÁSTICA, FORNECIDO E INSTALADO EM CONDUTORES VERTICAIS DE ÁGUAS PLUVIAIS. AF_06/2022" xr:uid="{00000000-0004-0000-5B00-000002000000}"/>
    <hyperlink ref="D1" location="'13.3.27'!A1" display="LUVA SIMPLES, PVC, SERIE R, ÁGUA PLUVIAL, DN 150 MM, JUNTA ELÁSTICA, FORNECIDO E INSTALADO EM CONDUTORES VERTICAIS DE ÁGUAS PLUVIAIS. AF_06/2022" xr:uid="{00000000-0004-0000-5B00-000003000000}"/>
    <hyperlink ref="E1" location="'13.3.27'!A1" display="LUVA SIMPLES, PVC, SERIE R, ÁGUA PLUVIAL, DN 150 MM, JUNTA ELÁSTICA, FORNECIDO E INSTALADO EM CONDUTORES VERTICAIS DE ÁGUAS PLUVIAIS. AF_06/2022" xr:uid="{00000000-0004-0000-5B00-000004000000}"/>
    <hyperlink ref="A2" location="'13.3.27'!A1" display="LUVA SIMPLES, PVC, SERIE R, ÁGUA PLUVIAL, DN 150 MM, JUNTA ELÁSTICA, FORNECIDO E INSTALADO EM CONDUTORES VERTICAIS DE ÁGUAS PLUVIAIS. AF_06/2022" xr:uid="{00000000-0004-0000-5B00-000005000000}"/>
    <hyperlink ref="B2" location="'13.3.27'!A1" display="LUVA SIMPLES, PVC, SERIE R, ÁGUA PLUVIAL, DN 150 MM, JUNTA ELÁSTICA, FORNECIDO E INSTALADO EM CONDUTORES VERTICAIS DE ÁGUAS PLUVIAIS. AF_06/2022" xr:uid="{00000000-0004-0000-5B00-000006000000}"/>
    <hyperlink ref="C2" location="'13.3.27'!A1" display="LUVA SIMPLES, PVC, SERIE R, ÁGUA PLUVIAL, DN 150 MM, JUNTA ELÁSTICA, FORNECIDO E INSTALADO EM CONDUTORES VERTICAIS DE ÁGUAS PLUVIAIS. AF_06/2022" xr:uid="{00000000-0004-0000-5B00-000007000000}"/>
    <hyperlink ref="D2" location="'13.3.27'!A1" display="LUVA SIMPLES, PVC, SERIE R, ÁGUA PLUVIAL, DN 150 MM, JUNTA ELÁSTICA, FORNECIDO E INSTALADO EM CONDUTORES VERTICAIS DE ÁGUAS PLUVIAIS. AF_06/2022" xr:uid="{00000000-0004-0000-5B00-000008000000}"/>
    <hyperlink ref="E2" location="'13.3.27'!A1" display="LUVA SIMPLES, PVC, SERIE R, ÁGUA PLUVIAL, DN 150 MM, JUNTA ELÁSTICA, FORNECIDO E INSTALADO EM CONDUTORES VERTICAIS DE ÁGUAS PLUVIAIS. AF_06/2022" xr:uid="{00000000-0004-0000-5B00-000009000000}"/>
    <hyperlink ref="A4" location="'13.3.27'!A1" display="Conexões de tubo (Afastamento)" xr:uid="{00000000-0004-0000-5B00-00000A000000}"/>
    <hyperlink ref="B4" location="'13.3.27'!A1" display="Conexões de tubo (Afastamento)" xr:uid="{00000000-0004-0000-5B00-00000B000000}"/>
    <hyperlink ref="C4" location="'13.3.27'!A1" display="Conexões de tubo (Afastamento)" xr:uid="{00000000-0004-0000-5B00-00000C000000}"/>
    <hyperlink ref="D4" location="'13.3.27'!A1" display="Conexões de tubo (Afastamento)" xr:uid="{00000000-0004-0000-5B00-00000D000000}"/>
    <hyperlink ref="E4" location="'13.3.27'!A1" display="Conexões de tubo (Afastamento)" xr:uid="{00000000-0004-0000-5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dimension ref="A1:E54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119</v>
      </c>
      <c r="B1" s="20" t="s">
        <v>119</v>
      </c>
      <c r="C1" s="20" t="s">
        <v>119</v>
      </c>
      <c r="D1" s="20" t="s">
        <v>119</v>
      </c>
      <c r="E1" s="20" t="s">
        <v>119</v>
      </c>
    </row>
    <row r="2" spans="1:5">
      <c r="A2" s="20" t="s">
        <v>119</v>
      </c>
      <c r="B2" s="20" t="s">
        <v>119</v>
      </c>
      <c r="C2" s="20" t="s">
        <v>119</v>
      </c>
      <c r="D2" s="20" t="s">
        <v>119</v>
      </c>
      <c r="E2" s="20" t="s">
        <v>119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928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929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930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931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932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933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934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935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936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937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938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939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940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941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942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943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944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945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946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947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948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949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950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951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952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953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954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955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956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957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958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959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960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961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962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963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964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965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966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967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968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277</v>
      </c>
      <c r="D48" s="8" t="s">
        <v>969</v>
      </c>
      <c r="E48" s="8">
        <v>1</v>
      </c>
    </row>
    <row r="49" spans="1:5" ht="24.75">
      <c r="A49" s="8" t="s">
        <v>399</v>
      </c>
      <c r="B49" s="8" t="s">
        <v>253</v>
      </c>
      <c r="C49" s="8" t="s">
        <v>277</v>
      </c>
      <c r="D49" s="8" t="s">
        <v>970</v>
      </c>
      <c r="E49" s="8">
        <v>1</v>
      </c>
    </row>
    <row r="50" spans="1:5" ht="24.75">
      <c r="A50" s="8" t="s">
        <v>399</v>
      </c>
      <c r="B50" s="8" t="s">
        <v>253</v>
      </c>
      <c r="C50" s="8" t="s">
        <v>277</v>
      </c>
      <c r="D50" s="8" t="s">
        <v>971</v>
      </c>
      <c r="E50" s="8">
        <v>1</v>
      </c>
    </row>
    <row r="51" spans="1:5" ht="24.75">
      <c r="A51" s="8" t="s">
        <v>399</v>
      </c>
      <c r="B51" s="8" t="s">
        <v>253</v>
      </c>
      <c r="C51" s="8" t="s">
        <v>277</v>
      </c>
      <c r="D51" s="8" t="s">
        <v>972</v>
      </c>
      <c r="E51" s="8">
        <v>1</v>
      </c>
    </row>
    <row r="52" spans="1:5" ht="24.75">
      <c r="A52" s="8" t="s">
        <v>399</v>
      </c>
      <c r="B52" s="8" t="s">
        <v>253</v>
      </c>
      <c r="C52" s="8" t="s">
        <v>277</v>
      </c>
      <c r="D52" s="8" t="s">
        <v>973</v>
      </c>
      <c r="E52" s="8">
        <v>1</v>
      </c>
    </row>
    <row r="53" spans="1:5" ht="24.75">
      <c r="A53" s="8" t="s">
        <v>399</v>
      </c>
      <c r="B53" s="8" t="s">
        <v>253</v>
      </c>
      <c r="C53" s="8" t="s">
        <v>277</v>
      </c>
      <c r="D53" s="8" t="s">
        <v>974</v>
      </c>
      <c r="E53" s="8">
        <v>1</v>
      </c>
    </row>
    <row r="54" spans="1:5">
      <c r="A54" s="1" t="s">
        <v>246</v>
      </c>
      <c r="B54" s="1" t="s">
        <v>246</v>
      </c>
      <c r="C54" s="1">
        <f>SUBTOTAL(103,Elements13_3_281[Elemento])</f>
        <v>47</v>
      </c>
      <c r="D54" s="1" t="s">
        <v>246</v>
      </c>
      <c r="E54" s="1">
        <f>SUBTOTAL(109,Elements13_3_281[Totais:])</f>
        <v>47</v>
      </c>
    </row>
  </sheetData>
  <mergeCells count="3">
    <mergeCell ref="A1:E2"/>
    <mergeCell ref="A4:E4"/>
    <mergeCell ref="A5:E5"/>
  </mergeCells>
  <hyperlinks>
    <hyperlink ref="A1" location="'13.3.28'!A1" display="LUVA SIMPLES, PVC, SERIE NORMAL, ESGOTO PREDIAL, DN 50 MM, JUNTA ELÁSTICA, FORNECIDO E INSTALADO EM RAMAL DE DESCARGA OU RAMAL DE ESGOTO SANITÁRIO. AF_08/2022" xr:uid="{00000000-0004-0000-5C00-000000000000}"/>
    <hyperlink ref="B1" location="'13.3.28'!A1" display="LUVA SIMPLES, PVC, SERIE NORMAL, ESGOTO PREDIAL, DN 50 MM, JUNTA ELÁSTICA, FORNECIDO E INSTALADO EM RAMAL DE DESCARGA OU RAMAL DE ESGOTO SANITÁRIO. AF_08/2022" xr:uid="{00000000-0004-0000-5C00-000001000000}"/>
    <hyperlink ref="C1" location="'13.3.28'!A1" display="LUVA SIMPLES, PVC, SERIE NORMAL, ESGOTO PREDIAL, DN 50 MM, JUNTA ELÁSTICA, FORNECIDO E INSTALADO EM RAMAL DE DESCARGA OU RAMAL DE ESGOTO SANITÁRIO. AF_08/2022" xr:uid="{00000000-0004-0000-5C00-000002000000}"/>
    <hyperlink ref="D1" location="'13.3.28'!A1" display="LUVA SIMPLES, PVC, SERIE NORMAL, ESGOTO PREDIAL, DN 50 MM, JUNTA ELÁSTICA, FORNECIDO E INSTALADO EM RAMAL DE DESCARGA OU RAMAL DE ESGOTO SANITÁRIO. AF_08/2022" xr:uid="{00000000-0004-0000-5C00-000003000000}"/>
    <hyperlink ref="E1" location="'13.3.28'!A1" display="LUVA SIMPLES, PVC, SERIE NORMAL, ESGOTO PREDIAL, DN 50 MM, JUNTA ELÁSTICA, FORNECIDO E INSTALADO EM RAMAL DE DESCARGA OU RAMAL DE ESGOTO SANITÁRIO. AF_08/2022" xr:uid="{00000000-0004-0000-5C00-000004000000}"/>
    <hyperlink ref="A2" location="'13.3.28'!A1" display="LUVA SIMPLES, PVC, SERIE NORMAL, ESGOTO PREDIAL, DN 50 MM, JUNTA ELÁSTICA, FORNECIDO E INSTALADO EM RAMAL DE DESCARGA OU RAMAL DE ESGOTO SANITÁRIO. AF_08/2022" xr:uid="{00000000-0004-0000-5C00-000005000000}"/>
    <hyperlink ref="B2" location="'13.3.28'!A1" display="LUVA SIMPLES, PVC, SERIE NORMAL, ESGOTO PREDIAL, DN 50 MM, JUNTA ELÁSTICA, FORNECIDO E INSTALADO EM RAMAL DE DESCARGA OU RAMAL DE ESGOTO SANITÁRIO. AF_08/2022" xr:uid="{00000000-0004-0000-5C00-000006000000}"/>
    <hyperlink ref="C2" location="'13.3.28'!A1" display="LUVA SIMPLES, PVC, SERIE NORMAL, ESGOTO PREDIAL, DN 50 MM, JUNTA ELÁSTICA, FORNECIDO E INSTALADO EM RAMAL DE DESCARGA OU RAMAL DE ESGOTO SANITÁRIO. AF_08/2022" xr:uid="{00000000-0004-0000-5C00-000007000000}"/>
    <hyperlink ref="D2" location="'13.3.28'!A1" display="LUVA SIMPLES, PVC, SERIE NORMAL, ESGOTO PREDIAL, DN 50 MM, JUNTA ELÁSTICA, FORNECIDO E INSTALADO EM RAMAL DE DESCARGA OU RAMAL DE ESGOTO SANITÁRIO. AF_08/2022" xr:uid="{00000000-0004-0000-5C00-000008000000}"/>
    <hyperlink ref="E2" location="'13.3.28'!A1" display="LUVA SIMPLES, PVC, SERIE NORMAL, ESGOTO PREDIAL, DN 50 MM, JUNTA ELÁSTICA, FORNECIDO E INSTALADO EM RAMAL DE DESCARGA OU RAMAL DE ESGOTO SANITÁRIO. AF_08/2022" xr:uid="{00000000-0004-0000-5C00-000009000000}"/>
    <hyperlink ref="A4" location="'13.3.28'!A1" display="Conexões de tubo (Afastamento)" xr:uid="{00000000-0004-0000-5C00-00000A000000}"/>
    <hyperlink ref="B4" location="'13.3.28'!A1" display="Conexões de tubo (Afastamento)" xr:uid="{00000000-0004-0000-5C00-00000B000000}"/>
    <hyperlink ref="C4" location="'13.3.28'!A1" display="Conexões de tubo (Afastamento)" xr:uid="{00000000-0004-0000-5C00-00000C000000}"/>
    <hyperlink ref="D4" location="'13.3.28'!A1" display="Conexões de tubo (Afastamento)" xr:uid="{00000000-0004-0000-5C00-00000D000000}"/>
    <hyperlink ref="E4" location="'13.3.28'!A1" display="Conexões de tubo (Afastamento)" xr:uid="{00000000-0004-0000-5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dimension ref="A1:E13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123</v>
      </c>
      <c r="B1" s="20" t="s">
        <v>123</v>
      </c>
      <c r="C1" s="20" t="s">
        <v>123</v>
      </c>
      <c r="D1" s="20" t="s">
        <v>123</v>
      </c>
      <c r="E1" s="20" t="s">
        <v>123</v>
      </c>
    </row>
    <row r="2" spans="1:5">
      <c r="A2" s="20" t="s">
        <v>123</v>
      </c>
      <c r="B2" s="20" t="s">
        <v>123</v>
      </c>
      <c r="C2" s="20" t="s">
        <v>123</v>
      </c>
      <c r="D2" s="20" t="s">
        <v>123</v>
      </c>
      <c r="E2" s="20" t="s">
        <v>123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975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976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977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978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979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980</v>
      </c>
      <c r="E12" s="8">
        <v>1</v>
      </c>
    </row>
    <row r="13" spans="1:5">
      <c r="A13" s="1" t="s">
        <v>246</v>
      </c>
      <c r="B13" s="1" t="s">
        <v>246</v>
      </c>
      <c r="C13" s="1">
        <f>SUBTOTAL(103,Elements13_3_291[Elemento])</f>
        <v>6</v>
      </c>
      <c r="D13" s="1" t="s">
        <v>246</v>
      </c>
      <c r="E13" s="1">
        <f>SUBTOTAL(109,Elements13_3_291[Totais:])</f>
        <v>6</v>
      </c>
    </row>
  </sheetData>
  <mergeCells count="3">
    <mergeCell ref="A1:E2"/>
    <mergeCell ref="A4:E4"/>
    <mergeCell ref="A5:E5"/>
  </mergeCells>
  <hyperlinks>
    <hyperlink ref="A1" location="'13.3.29'!A1" display="LUVA SIMPLES, PVC, SERIE NORMAL, ESGOTO PREDIAL, DN 75 MM, JUNTA ELÁSTICA, FORNECIDO E INSTALADO EM PRUMADA DE ESGOTO SANITÁRIO OU VENTILAÇÃO. AF_08/2022" xr:uid="{00000000-0004-0000-5D00-000000000000}"/>
    <hyperlink ref="B1" location="'13.3.29'!A1" display="LUVA SIMPLES, PVC, SERIE NORMAL, ESGOTO PREDIAL, DN 75 MM, JUNTA ELÁSTICA, FORNECIDO E INSTALADO EM PRUMADA DE ESGOTO SANITÁRIO OU VENTILAÇÃO. AF_08/2022" xr:uid="{00000000-0004-0000-5D00-000001000000}"/>
    <hyperlink ref="C1" location="'13.3.29'!A1" display="LUVA SIMPLES, PVC, SERIE NORMAL, ESGOTO PREDIAL, DN 75 MM, JUNTA ELÁSTICA, FORNECIDO E INSTALADO EM PRUMADA DE ESGOTO SANITÁRIO OU VENTILAÇÃO. AF_08/2022" xr:uid="{00000000-0004-0000-5D00-000002000000}"/>
    <hyperlink ref="D1" location="'13.3.29'!A1" display="LUVA SIMPLES, PVC, SERIE NORMAL, ESGOTO PREDIAL, DN 75 MM, JUNTA ELÁSTICA, FORNECIDO E INSTALADO EM PRUMADA DE ESGOTO SANITÁRIO OU VENTILAÇÃO. AF_08/2022" xr:uid="{00000000-0004-0000-5D00-000003000000}"/>
    <hyperlink ref="E1" location="'13.3.29'!A1" display="LUVA SIMPLES, PVC, SERIE NORMAL, ESGOTO PREDIAL, DN 75 MM, JUNTA ELÁSTICA, FORNECIDO E INSTALADO EM PRUMADA DE ESGOTO SANITÁRIO OU VENTILAÇÃO. AF_08/2022" xr:uid="{00000000-0004-0000-5D00-000004000000}"/>
    <hyperlink ref="A2" location="'13.3.29'!A1" display="LUVA SIMPLES, PVC, SERIE NORMAL, ESGOTO PREDIAL, DN 75 MM, JUNTA ELÁSTICA, FORNECIDO E INSTALADO EM PRUMADA DE ESGOTO SANITÁRIO OU VENTILAÇÃO. AF_08/2022" xr:uid="{00000000-0004-0000-5D00-000005000000}"/>
    <hyperlink ref="B2" location="'13.3.29'!A1" display="LUVA SIMPLES, PVC, SERIE NORMAL, ESGOTO PREDIAL, DN 75 MM, JUNTA ELÁSTICA, FORNECIDO E INSTALADO EM PRUMADA DE ESGOTO SANITÁRIO OU VENTILAÇÃO. AF_08/2022" xr:uid="{00000000-0004-0000-5D00-000006000000}"/>
    <hyperlink ref="C2" location="'13.3.29'!A1" display="LUVA SIMPLES, PVC, SERIE NORMAL, ESGOTO PREDIAL, DN 75 MM, JUNTA ELÁSTICA, FORNECIDO E INSTALADO EM PRUMADA DE ESGOTO SANITÁRIO OU VENTILAÇÃO. AF_08/2022" xr:uid="{00000000-0004-0000-5D00-000007000000}"/>
    <hyperlink ref="D2" location="'13.3.29'!A1" display="LUVA SIMPLES, PVC, SERIE NORMAL, ESGOTO PREDIAL, DN 75 MM, JUNTA ELÁSTICA, FORNECIDO E INSTALADO EM PRUMADA DE ESGOTO SANITÁRIO OU VENTILAÇÃO. AF_08/2022" xr:uid="{00000000-0004-0000-5D00-000008000000}"/>
    <hyperlink ref="E2" location="'13.3.29'!A1" display="LUVA SIMPLES, PVC, SERIE NORMAL, ESGOTO PREDIAL, DN 75 MM, JUNTA ELÁSTICA, FORNECIDO E INSTALADO EM PRUMADA DE ESGOTO SANITÁRIO OU VENTILAÇÃO. AF_08/2022" xr:uid="{00000000-0004-0000-5D00-000009000000}"/>
    <hyperlink ref="A4" location="'13.3.29'!A1" display="Conexões de tubo (Afastamento)" xr:uid="{00000000-0004-0000-5D00-00000A000000}"/>
    <hyperlink ref="B4" location="'13.3.29'!A1" display="Conexões de tubo (Afastamento)" xr:uid="{00000000-0004-0000-5D00-00000B000000}"/>
    <hyperlink ref="C4" location="'13.3.29'!A1" display="Conexões de tubo (Afastamento)" xr:uid="{00000000-0004-0000-5D00-00000C000000}"/>
    <hyperlink ref="D4" location="'13.3.29'!A1" display="Conexões de tubo (Afastamento)" xr:uid="{00000000-0004-0000-5D00-00000D000000}"/>
    <hyperlink ref="E4" location="'13.3.29'!A1" display="Conexões de tubo (Afastamento)" xr:uid="{00000000-0004-0000-5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dimension ref="A1:E11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127</v>
      </c>
      <c r="B1" s="20" t="s">
        <v>127</v>
      </c>
      <c r="C1" s="20" t="s">
        <v>127</v>
      </c>
      <c r="D1" s="20" t="s">
        <v>127</v>
      </c>
      <c r="E1" s="20" t="s">
        <v>127</v>
      </c>
    </row>
    <row r="2" spans="1:5">
      <c r="A2" s="20" t="s">
        <v>127</v>
      </c>
      <c r="B2" s="20" t="s">
        <v>127</v>
      </c>
      <c r="C2" s="20" t="s">
        <v>127</v>
      </c>
      <c r="D2" s="20" t="s">
        <v>127</v>
      </c>
      <c r="E2" s="20" t="s">
        <v>127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351</v>
      </c>
      <c r="D7" s="8" t="s">
        <v>981</v>
      </c>
      <c r="E7" s="8">
        <v>0.14510522678814042</v>
      </c>
    </row>
    <row r="8" spans="1:5" ht="24.75">
      <c r="A8" s="8" t="s">
        <v>399</v>
      </c>
      <c r="B8" s="8" t="s">
        <v>253</v>
      </c>
      <c r="C8" s="8" t="s">
        <v>351</v>
      </c>
      <c r="D8" s="8" t="s">
        <v>982</v>
      </c>
      <c r="E8" s="8">
        <v>1.0410835438437902</v>
      </c>
    </row>
    <row r="9" spans="1:5" ht="24.75">
      <c r="A9" s="8" t="s">
        <v>399</v>
      </c>
      <c r="B9" s="8" t="s">
        <v>253</v>
      </c>
      <c r="C9" s="8" t="s">
        <v>351</v>
      </c>
      <c r="D9" s="8" t="s">
        <v>983</v>
      </c>
      <c r="E9" s="8">
        <v>0.14307947410692887</v>
      </c>
    </row>
    <row r="10" spans="1:5" ht="24.75">
      <c r="A10" s="8" t="s">
        <v>399</v>
      </c>
      <c r="B10" s="8" t="s">
        <v>253</v>
      </c>
      <c r="C10" s="8" t="s">
        <v>351</v>
      </c>
      <c r="D10" s="8" t="s">
        <v>984</v>
      </c>
      <c r="E10" s="8">
        <v>1.0410631156040562</v>
      </c>
    </row>
    <row r="11" spans="1:5" ht="24.75">
      <c r="A11" s="8" t="s">
        <v>399</v>
      </c>
      <c r="B11" s="8" t="s">
        <v>253</v>
      </c>
      <c r="C11" s="8" t="s">
        <v>351</v>
      </c>
      <c r="D11" s="8" t="s">
        <v>985</v>
      </c>
      <c r="E11" s="8">
        <v>0.2508095998278923</v>
      </c>
    </row>
    <row r="12" spans="1:5" ht="24.75">
      <c r="A12" s="8" t="s">
        <v>399</v>
      </c>
      <c r="B12" s="8" t="s">
        <v>253</v>
      </c>
      <c r="C12" s="8" t="s">
        <v>351</v>
      </c>
      <c r="D12" s="8" t="s">
        <v>986</v>
      </c>
      <c r="E12" s="8">
        <v>0.25064252781846641</v>
      </c>
    </row>
    <row r="13" spans="1:5" ht="24.75">
      <c r="A13" s="8" t="s">
        <v>399</v>
      </c>
      <c r="B13" s="8" t="s">
        <v>253</v>
      </c>
      <c r="C13" s="8" t="s">
        <v>351</v>
      </c>
      <c r="D13" s="8" t="s">
        <v>987</v>
      </c>
      <c r="E13" s="8">
        <v>0.23197656818722026</v>
      </c>
    </row>
    <row r="14" spans="1:5" ht="24.75">
      <c r="A14" s="8" t="s">
        <v>399</v>
      </c>
      <c r="B14" s="8" t="s">
        <v>253</v>
      </c>
      <c r="C14" s="8" t="s">
        <v>351</v>
      </c>
      <c r="D14" s="8" t="s">
        <v>988</v>
      </c>
      <c r="E14" s="8">
        <v>1.0589686903797912</v>
      </c>
    </row>
    <row r="15" spans="1:5" ht="24.75">
      <c r="A15" s="8" t="s">
        <v>399</v>
      </c>
      <c r="B15" s="8" t="s">
        <v>253</v>
      </c>
      <c r="C15" s="8" t="s">
        <v>351</v>
      </c>
      <c r="D15" s="8" t="s">
        <v>989</v>
      </c>
      <c r="E15" s="8">
        <v>0.1522938199988452</v>
      </c>
    </row>
    <row r="16" spans="1:5" ht="24.75">
      <c r="A16" s="8" t="s">
        <v>399</v>
      </c>
      <c r="B16" s="8" t="s">
        <v>253</v>
      </c>
      <c r="C16" s="8" t="s">
        <v>351</v>
      </c>
      <c r="D16" s="8" t="s">
        <v>990</v>
      </c>
      <c r="E16" s="8">
        <v>0.23196992561758747</v>
      </c>
    </row>
    <row r="17" spans="1:5" ht="24.75">
      <c r="A17" s="8" t="s">
        <v>399</v>
      </c>
      <c r="B17" s="8" t="s">
        <v>253</v>
      </c>
      <c r="C17" s="8" t="s">
        <v>351</v>
      </c>
      <c r="D17" s="8" t="s">
        <v>991</v>
      </c>
      <c r="E17" s="8">
        <v>1.0589783321017441</v>
      </c>
    </row>
    <row r="18" spans="1:5" ht="24.75">
      <c r="A18" s="8" t="s">
        <v>399</v>
      </c>
      <c r="B18" s="8" t="s">
        <v>253</v>
      </c>
      <c r="C18" s="8" t="s">
        <v>351</v>
      </c>
      <c r="D18" s="8" t="s">
        <v>992</v>
      </c>
      <c r="E18" s="8">
        <v>0.15181828006324447</v>
      </c>
    </row>
    <row r="19" spans="1:5" ht="24.75">
      <c r="A19" s="8" t="s">
        <v>399</v>
      </c>
      <c r="B19" s="8" t="s">
        <v>253</v>
      </c>
      <c r="C19" s="8" t="s">
        <v>351</v>
      </c>
      <c r="D19" s="8" t="s">
        <v>993</v>
      </c>
      <c r="E19" s="8">
        <v>1.0361552469547384</v>
      </c>
    </row>
    <row r="20" spans="1:5" ht="24.75">
      <c r="A20" s="8" t="s">
        <v>399</v>
      </c>
      <c r="B20" s="8" t="s">
        <v>253</v>
      </c>
      <c r="C20" s="8" t="s">
        <v>351</v>
      </c>
      <c r="D20" s="8" t="s">
        <v>994</v>
      </c>
      <c r="E20" s="8">
        <v>0.17822414252924129</v>
      </c>
    </row>
    <row r="21" spans="1:5" ht="24.75">
      <c r="A21" s="8" t="s">
        <v>399</v>
      </c>
      <c r="B21" s="8" t="s">
        <v>253</v>
      </c>
      <c r="C21" s="8" t="s">
        <v>351</v>
      </c>
      <c r="D21" s="8" t="s">
        <v>995</v>
      </c>
      <c r="E21" s="8">
        <v>3.0177434317893961E-2</v>
      </c>
    </row>
    <row r="22" spans="1:5" ht="24.75">
      <c r="A22" s="8" t="s">
        <v>399</v>
      </c>
      <c r="B22" s="8" t="s">
        <v>253</v>
      </c>
      <c r="C22" s="8" t="s">
        <v>351</v>
      </c>
      <c r="D22" s="8" t="s">
        <v>996</v>
      </c>
      <c r="E22" s="8">
        <v>9.1772845690142144E-2</v>
      </c>
    </row>
    <row r="23" spans="1:5" ht="24.75">
      <c r="A23" s="8" t="s">
        <v>399</v>
      </c>
      <c r="B23" s="8" t="s">
        <v>253</v>
      </c>
      <c r="C23" s="8" t="s">
        <v>351</v>
      </c>
      <c r="D23" s="8" t="s">
        <v>997</v>
      </c>
      <c r="E23" s="8">
        <v>0.27742822144017437</v>
      </c>
    </row>
    <row r="24" spans="1:5" ht="24.75">
      <c r="A24" s="8" t="s">
        <v>399</v>
      </c>
      <c r="B24" s="8" t="s">
        <v>253</v>
      </c>
      <c r="C24" s="8" t="s">
        <v>351</v>
      </c>
      <c r="D24" s="8" t="s">
        <v>998</v>
      </c>
      <c r="E24" s="8">
        <v>0.98750339445997537</v>
      </c>
    </row>
    <row r="25" spans="1:5" ht="24.75">
      <c r="A25" s="8" t="s">
        <v>399</v>
      </c>
      <c r="B25" s="8" t="s">
        <v>253</v>
      </c>
      <c r="C25" s="8" t="s">
        <v>351</v>
      </c>
      <c r="D25" s="8" t="s">
        <v>999</v>
      </c>
      <c r="E25" s="8">
        <v>0.19103019533572402</v>
      </c>
    </row>
    <row r="26" spans="1:5" ht="24.75">
      <c r="A26" s="8" t="s">
        <v>399</v>
      </c>
      <c r="B26" s="8" t="s">
        <v>253</v>
      </c>
      <c r="C26" s="8" t="s">
        <v>351</v>
      </c>
      <c r="D26" s="8" t="s">
        <v>1000</v>
      </c>
      <c r="E26" s="8">
        <v>5.6130680903655923E-2</v>
      </c>
    </row>
    <row r="27" spans="1:5" ht="24.75">
      <c r="A27" s="8" t="s">
        <v>399</v>
      </c>
      <c r="B27" s="8" t="s">
        <v>253</v>
      </c>
      <c r="C27" s="8" t="s">
        <v>351</v>
      </c>
      <c r="D27" s="8" t="s">
        <v>1001</v>
      </c>
      <c r="E27" s="8">
        <v>0.99938506096456925</v>
      </c>
    </row>
    <row r="28" spans="1:5" ht="24.75">
      <c r="A28" s="8" t="s">
        <v>399</v>
      </c>
      <c r="B28" s="8" t="s">
        <v>253</v>
      </c>
      <c r="C28" s="8" t="s">
        <v>351</v>
      </c>
      <c r="D28" s="8" t="s">
        <v>1002</v>
      </c>
      <c r="E28" s="8">
        <v>0.36192217937538962</v>
      </c>
    </row>
    <row r="29" spans="1:5" ht="24.75">
      <c r="A29" s="8" t="s">
        <v>399</v>
      </c>
      <c r="B29" s="8" t="s">
        <v>253</v>
      </c>
      <c r="C29" s="8" t="s">
        <v>351</v>
      </c>
      <c r="D29" s="8" t="s">
        <v>1003</v>
      </c>
      <c r="E29" s="8">
        <v>1.2149446096809786</v>
      </c>
    </row>
    <row r="30" spans="1:5" ht="24.75">
      <c r="A30" s="8" t="s">
        <v>399</v>
      </c>
      <c r="B30" s="8" t="s">
        <v>253</v>
      </c>
      <c r="C30" s="8" t="s">
        <v>351</v>
      </c>
      <c r="D30" s="8" t="s">
        <v>1004</v>
      </c>
      <c r="E30" s="8">
        <v>0.51628124977841416</v>
      </c>
    </row>
    <row r="31" spans="1:5" ht="24.75">
      <c r="A31" s="8" t="s">
        <v>399</v>
      </c>
      <c r="B31" s="8" t="s">
        <v>253</v>
      </c>
      <c r="C31" s="8" t="s">
        <v>351</v>
      </c>
      <c r="D31" s="8" t="s">
        <v>1005</v>
      </c>
      <c r="E31" s="8">
        <v>9.1227926072476248E-2</v>
      </c>
    </row>
    <row r="32" spans="1:5" ht="24.75">
      <c r="A32" s="8" t="s">
        <v>399</v>
      </c>
      <c r="B32" s="8" t="s">
        <v>253</v>
      </c>
      <c r="C32" s="8" t="s">
        <v>351</v>
      </c>
      <c r="D32" s="8" t="s">
        <v>1006</v>
      </c>
      <c r="E32" s="8">
        <v>0.19013033636045201</v>
      </c>
    </row>
    <row r="33" spans="1:5" ht="24.75">
      <c r="A33" s="8" t="s">
        <v>399</v>
      </c>
      <c r="B33" s="8" t="s">
        <v>253</v>
      </c>
      <c r="C33" s="8" t="s">
        <v>351</v>
      </c>
      <c r="D33" s="8" t="s">
        <v>1007</v>
      </c>
      <c r="E33" s="8">
        <v>0.47619259874713032</v>
      </c>
    </row>
    <row r="34" spans="1:5" ht="24.75">
      <c r="A34" s="8" t="s">
        <v>399</v>
      </c>
      <c r="B34" s="8" t="s">
        <v>253</v>
      </c>
      <c r="C34" s="8" t="s">
        <v>351</v>
      </c>
      <c r="D34" s="8" t="s">
        <v>1008</v>
      </c>
      <c r="E34" s="8">
        <v>0.21094754611712696</v>
      </c>
    </row>
    <row r="35" spans="1:5" ht="24.75">
      <c r="A35" s="8" t="s">
        <v>399</v>
      </c>
      <c r="B35" s="8" t="s">
        <v>253</v>
      </c>
      <c r="C35" s="8" t="s">
        <v>351</v>
      </c>
      <c r="D35" s="8" t="s">
        <v>1009</v>
      </c>
      <c r="E35" s="8">
        <v>0.1522402668341111</v>
      </c>
    </row>
    <row r="36" spans="1:5" ht="24.75">
      <c r="A36" s="8" t="s">
        <v>399</v>
      </c>
      <c r="B36" s="8" t="s">
        <v>253</v>
      </c>
      <c r="C36" s="8" t="s">
        <v>351</v>
      </c>
      <c r="D36" s="8" t="s">
        <v>1010</v>
      </c>
      <c r="E36" s="8">
        <v>0.47620000000000057</v>
      </c>
    </row>
    <row r="37" spans="1:5" ht="24.75">
      <c r="A37" s="8" t="s">
        <v>399</v>
      </c>
      <c r="B37" s="8" t="s">
        <v>253</v>
      </c>
      <c r="C37" s="8" t="s">
        <v>351</v>
      </c>
      <c r="D37" s="8" t="s">
        <v>1011</v>
      </c>
      <c r="E37" s="8">
        <v>3.485958110056081E-2</v>
      </c>
    </row>
    <row r="38" spans="1:5" ht="24.75">
      <c r="A38" s="8" t="s">
        <v>399</v>
      </c>
      <c r="B38" s="8" t="s">
        <v>253</v>
      </c>
      <c r="C38" s="8" t="s">
        <v>351</v>
      </c>
      <c r="D38" s="8" t="s">
        <v>1012</v>
      </c>
      <c r="E38" s="8">
        <v>2.3254336589879368E-2</v>
      </c>
    </row>
    <row r="39" spans="1:5" ht="24.75">
      <c r="A39" s="8" t="s">
        <v>399</v>
      </c>
      <c r="B39" s="8" t="s">
        <v>253</v>
      </c>
      <c r="C39" s="8" t="s">
        <v>351</v>
      </c>
      <c r="D39" s="8" t="s">
        <v>1013</v>
      </c>
      <c r="E39" s="8">
        <v>8.3505347238034378E-2</v>
      </c>
    </row>
    <row r="40" spans="1:5" ht="24.75">
      <c r="A40" s="8" t="s">
        <v>399</v>
      </c>
      <c r="B40" s="8" t="s">
        <v>253</v>
      </c>
      <c r="C40" s="8" t="s">
        <v>351</v>
      </c>
      <c r="D40" s="8" t="s">
        <v>1014</v>
      </c>
      <c r="E40" s="8">
        <v>0.47620965745971849</v>
      </c>
    </row>
    <row r="41" spans="1:5" ht="24.75">
      <c r="A41" s="8" t="s">
        <v>399</v>
      </c>
      <c r="B41" s="8" t="s">
        <v>253</v>
      </c>
      <c r="C41" s="8" t="s">
        <v>351</v>
      </c>
      <c r="D41" s="8" t="s">
        <v>1015</v>
      </c>
      <c r="E41" s="8">
        <v>0.15175648920228588</v>
      </c>
    </row>
    <row r="42" spans="1:5" ht="24.75">
      <c r="A42" s="8" t="s">
        <v>399</v>
      </c>
      <c r="B42" s="8" t="s">
        <v>253</v>
      </c>
      <c r="C42" s="8" t="s">
        <v>351</v>
      </c>
      <c r="D42" s="8" t="s">
        <v>1016</v>
      </c>
      <c r="E42" s="8">
        <v>2.9909548252784347E-2</v>
      </c>
    </row>
    <row r="43" spans="1:5" ht="24.75">
      <c r="A43" s="8" t="s">
        <v>399</v>
      </c>
      <c r="B43" s="8" t="s">
        <v>253</v>
      </c>
      <c r="C43" s="8" t="s">
        <v>351</v>
      </c>
      <c r="D43" s="8" t="s">
        <v>1017</v>
      </c>
      <c r="E43" s="8">
        <v>0.5311999999999989</v>
      </c>
    </row>
    <row r="44" spans="1:5" ht="24.75">
      <c r="A44" s="8" t="s">
        <v>399</v>
      </c>
      <c r="B44" s="8" t="s">
        <v>253</v>
      </c>
      <c r="C44" s="8" t="s">
        <v>351</v>
      </c>
      <c r="D44" s="8" t="s">
        <v>1018</v>
      </c>
      <c r="E44" s="8">
        <v>0.47869999964606263</v>
      </c>
    </row>
    <row r="45" spans="1:5" ht="24.75">
      <c r="A45" s="8" t="s">
        <v>399</v>
      </c>
      <c r="B45" s="8" t="s">
        <v>253</v>
      </c>
      <c r="C45" s="8" t="s">
        <v>351</v>
      </c>
      <c r="D45" s="8" t="s">
        <v>1019</v>
      </c>
      <c r="E45" s="8">
        <v>3.5640656609242746E-2</v>
      </c>
    </row>
    <row r="46" spans="1:5" ht="24.75">
      <c r="A46" s="8" t="s">
        <v>399</v>
      </c>
      <c r="B46" s="8" t="s">
        <v>253</v>
      </c>
      <c r="C46" s="8" t="s">
        <v>351</v>
      </c>
      <c r="D46" s="8" t="s">
        <v>1020</v>
      </c>
      <c r="E46" s="8">
        <v>0.87526319149835774</v>
      </c>
    </row>
    <row r="47" spans="1:5" ht="24.75">
      <c r="A47" s="8" t="s">
        <v>399</v>
      </c>
      <c r="B47" s="8" t="s">
        <v>253</v>
      </c>
      <c r="C47" s="8" t="s">
        <v>351</v>
      </c>
      <c r="D47" s="8" t="s">
        <v>1021</v>
      </c>
      <c r="E47" s="8">
        <v>8.5723262286322099E-2</v>
      </c>
    </row>
    <row r="48" spans="1:5" ht="24.75">
      <c r="A48" s="8" t="s">
        <v>399</v>
      </c>
      <c r="B48" s="8" t="s">
        <v>253</v>
      </c>
      <c r="C48" s="8" t="s">
        <v>351</v>
      </c>
      <c r="D48" s="8" t="s">
        <v>1022</v>
      </c>
      <c r="E48" s="8">
        <v>2.5294844510664286E-2</v>
      </c>
    </row>
    <row r="49" spans="1:5" ht="24.75">
      <c r="A49" s="8" t="s">
        <v>399</v>
      </c>
      <c r="B49" s="8" t="s">
        <v>253</v>
      </c>
      <c r="C49" s="8" t="s">
        <v>351</v>
      </c>
      <c r="D49" s="8" t="s">
        <v>1023</v>
      </c>
      <c r="E49" s="8">
        <v>7.2170324342355277E-2</v>
      </c>
    </row>
    <row r="50" spans="1:5" ht="24.75">
      <c r="A50" s="8" t="s">
        <v>399</v>
      </c>
      <c r="B50" s="8" t="s">
        <v>253</v>
      </c>
      <c r="C50" s="8" t="s">
        <v>351</v>
      </c>
      <c r="D50" s="8" t="s">
        <v>1024</v>
      </c>
      <c r="E50" s="8">
        <v>1.0231999040952016</v>
      </c>
    </row>
    <row r="51" spans="1:5" ht="24.75">
      <c r="A51" s="8" t="s">
        <v>399</v>
      </c>
      <c r="B51" s="8" t="s">
        <v>253</v>
      </c>
      <c r="C51" s="8" t="s">
        <v>351</v>
      </c>
      <c r="D51" s="8" t="s">
        <v>1025</v>
      </c>
      <c r="E51" s="8">
        <v>0.31099966761008219</v>
      </c>
    </row>
    <row r="52" spans="1:5" ht="24.75">
      <c r="A52" s="8" t="s">
        <v>399</v>
      </c>
      <c r="B52" s="8" t="s">
        <v>253</v>
      </c>
      <c r="C52" s="8" t="s">
        <v>351</v>
      </c>
      <c r="D52" s="8" t="s">
        <v>1026</v>
      </c>
      <c r="E52" s="8">
        <v>7.1265349935137778E-2</v>
      </c>
    </row>
    <row r="53" spans="1:5" ht="24.75">
      <c r="A53" s="8" t="s">
        <v>399</v>
      </c>
      <c r="B53" s="8" t="s">
        <v>253</v>
      </c>
      <c r="C53" s="8" t="s">
        <v>351</v>
      </c>
      <c r="D53" s="8" t="s">
        <v>1027</v>
      </c>
      <c r="E53" s="8">
        <v>1.0017212499170312</v>
      </c>
    </row>
    <row r="54" spans="1:5" ht="24.75">
      <c r="A54" s="8" t="s">
        <v>399</v>
      </c>
      <c r="B54" s="8" t="s">
        <v>253</v>
      </c>
      <c r="C54" s="8" t="s">
        <v>351</v>
      </c>
      <c r="D54" s="8" t="s">
        <v>1028</v>
      </c>
      <c r="E54" s="8">
        <v>0.31098191624931626</v>
      </c>
    </row>
    <row r="55" spans="1:5" ht="24.75">
      <c r="A55" s="8" t="s">
        <v>399</v>
      </c>
      <c r="B55" s="8" t="s">
        <v>253</v>
      </c>
      <c r="C55" s="8" t="s">
        <v>351</v>
      </c>
      <c r="D55" s="8" t="s">
        <v>1029</v>
      </c>
      <c r="E55" s="8">
        <v>7.3765264253387461E-2</v>
      </c>
    </row>
    <row r="56" spans="1:5" ht="24.75">
      <c r="A56" s="8" t="s">
        <v>399</v>
      </c>
      <c r="B56" s="8" t="s">
        <v>253</v>
      </c>
      <c r="C56" s="8" t="s">
        <v>351</v>
      </c>
      <c r="D56" s="8" t="s">
        <v>1030</v>
      </c>
      <c r="E56" s="8">
        <v>1.0017212499170312</v>
      </c>
    </row>
    <row r="57" spans="1:5" ht="24.75">
      <c r="A57" s="8" t="s">
        <v>399</v>
      </c>
      <c r="B57" s="8" t="s">
        <v>253</v>
      </c>
      <c r="C57" s="8" t="s">
        <v>351</v>
      </c>
      <c r="D57" s="8" t="s">
        <v>1031</v>
      </c>
      <c r="E57" s="8">
        <v>0.31098191624931626</v>
      </c>
    </row>
    <row r="58" spans="1:5" ht="24.75">
      <c r="A58" s="8" t="s">
        <v>399</v>
      </c>
      <c r="B58" s="8" t="s">
        <v>253</v>
      </c>
      <c r="C58" s="8" t="s">
        <v>351</v>
      </c>
      <c r="D58" s="8" t="s">
        <v>1032</v>
      </c>
      <c r="E58" s="8">
        <v>7.3765264253387461E-2</v>
      </c>
    </row>
    <row r="59" spans="1:5" ht="24.75">
      <c r="A59" s="8" t="s">
        <v>399</v>
      </c>
      <c r="B59" s="8" t="s">
        <v>253</v>
      </c>
      <c r="C59" s="8" t="s">
        <v>351</v>
      </c>
      <c r="D59" s="8" t="s">
        <v>1033</v>
      </c>
      <c r="E59" s="8">
        <v>1.0021096236861631</v>
      </c>
    </row>
    <row r="60" spans="1:5" ht="24.75">
      <c r="A60" s="8" t="s">
        <v>399</v>
      </c>
      <c r="B60" s="8" t="s">
        <v>253</v>
      </c>
      <c r="C60" s="8" t="s">
        <v>351</v>
      </c>
      <c r="D60" s="8" t="s">
        <v>1034</v>
      </c>
      <c r="E60" s="8">
        <v>0.3110104971692339</v>
      </c>
    </row>
    <row r="61" spans="1:5" ht="24.75">
      <c r="A61" s="8" t="s">
        <v>399</v>
      </c>
      <c r="B61" s="8" t="s">
        <v>253</v>
      </c>
      <c r="C61" s="8" t="s">
        <v>351</v>
      </c>
      <c r="D61" s="8" t="s">
        <v>1035</v>
      </c>
      <c r="E61" s="8">
        <v>4.62450332049733E-2</v>
      </c>
    </row>
    <row r="62" spans="1:5" ht="24.75">
      <c r="A62" s="8" t="s">
        <v>399</v>
      </c>
      <c r="B62" s="8" t="s">
        <v>253</v>
      </c>
      <c r="C62" s="8" t="s">
        <v>351</v>
      </c>
      <c r="D62" s="8" t="s">
        <v>1036</v>
      </c>
      <c r="E62" s="8">
        <v>1.0021096236845337</v>
      </c>
    </row>
    <row r="63" spans="1:5" ht="24.75">
      <c r="A63" s="8" t="s">
        <v>399</v>
      </c>
      <c r="B63" s="8" t="s">
        <v>253</v>
      </c>
      <c r="C63" s="8" t="s">
        <v>351</v>
      </c>
      <c r="D63" s="8" t="s">
        <v>1037</v>
      </c>
      <c r="E63" s="8">
        <v>0.31101049647837098</v>
      </c>
    </row>
    <row r="64" spans="1:5" ht="24.75">
      <c r="A64" s="8" t="s">
        <v>399</v>
      </c>
      <c r="B64" s="8" t="s">
        <v>253</v>
      </c>
      <c r="C64" s="8" t="s">
        <v>351</v>
      </c>
      <c r="D64" s="8" t="s">
        <v>1038</v>
      </c>
      <c r="E64" s="8">
        <v>4.6245034297738179E-2</v>
      </c>
    </row>
    <row r="65" spans="1:5" ht="24.75">
      <c r="A65" s="8" t="s">
        <v>399</v>
      </c>
      <c r="B65" s="8" t="s">
        <v>253</v>
      </c>
      <c r="C65" s="8" t="s">
        <v>351</v>
      </c>
      <c r="D65" s="8" t="s">
        <v>1039</v>
      </c>
      <c r="E65" s="8">
        <v>1.0021096218007868</v>
      </c>
    </row>
    <row r="66" spans="1:5" ht="24.75">
      <c r="A66" s="8" t="s">
        <v>399</v>
      </c>
      <c r="B66" s="8" t="s">
        <v>253</v>
      </c>
      <c r="C66" s="8" t="s">
        <v>351</v>
      </c>
      <c r="D66" s="8" t="s">
        <v>1040</v>
      </c>
      <c r="E66" s="8">
        <v>0.31101049716007118</v>
      </c>
    </row>
    <row r="67" spans="1:5" ht="24.75">
      <c r="A67" s="8" t="s">
        <v>399</v>
      </c>
      <c r="B67" s="8" t="s">
        <v>253</v>
      </c>
      <c r="C67" s="8" t="s">
        <v>351</v>
      </c>
      <c r="D67" s="8" t="s">
        <v>1041</v>
      </c>
      <c r="E67" s="8">
        <v>4.62451666197903E-2</v>
      </c>
    </row>
    <row r="68" spans="1:5" ht="24.75">
      <c r="A68" s="8" t="s">
        <v>399</v>
      </c>
      <c r="B68" s="8" t="s">
        <v>253</v>
      </c>
      <c r="C68" s="8" t="s">
        <v>351</v>
      </c>
      <c r="D68" s="8" t="s">
        <v>1042</v>
      </c>
      <c r="E68" s="8">
        <v>1.002109922246917</v>
      </c>
    </row>
    <row r="69" spans="1:5" ht="24.75">
      <c r="A69" s="8" t="s">
        <v>399</v>
      </c>
      <c r="B69" s="8" t="s">
        <v>253</v>
      </c>
      <c r="C69" s="8" t="s">
        <v>351</v>
      </c>
      <c r="D69" s="8" t="s">
        <v>1043</v>
      </c>
      <c r="E69" s="8">
        <v>0.31101049827647614</v>
      </c>
    </row>
    <row r="70" spans="1:5" ht="24.75">
      <c r="A70" s="8" t="s">
        <v>399</v>
      </c>
      <c r="B70" s="8" t="s">
        <v>253</v>
      </c>
      <c r="C70" s="8" t="s">
        <v>351</v>
      </c>
      <c r="D70" s="8" t="s">
        <v>1044</v>
      </c>
      <c r="E70" s="8">
        <v>4.6224188817993624E-2</v>
      </c>
    </row>
    <row r="71" spans="1:5" ht="24.75">
      <c r="A71" s="8" t="s">
        <v>399</v>
      </c>
      <c r="B71" s="8" t="s">
        <v>253</v>
      </c>
      <c r="C71" s="8" t="s">
        <v>351</v>
      </c>
      <c r="D71" s="8" t="s">
        <v>1045</v>
      </c>
      <c r="E71" s="8">
        <v>1.0220666752903993</v>
      </c>
    </row>
    <row r="72" spans="1:5" ht="24.75">
      <c r="A72" s="8" t="s">
        <v>399</v>
      </c>
      <c r="B72" s="8" t="s">
        <v>253</v>
      </c>
      <c r="C72" s="8" t="s">
        <v>351</v>
      </c>
      <c r="D72" s="8" t="s">
        <v>1046</v>
      </c>
      <c r="E72" s="8">
        <v>0.1419896842434169</v>
      </c>
    </row>
    <row r="73" spans="1:5" ht="24.75">
      <c r="A73" s="8" t="s">
        <v>399</v>
      </c>
      <c r="B73" s="8" t="s">
        <v>253</v>
      </c>
      <c r="C73" s="8" t="s">
        <v>351</v>
      </c>
      <c r="D73" s="8" t="s">
        <v>1047</v>
      </c>
      <c r="E73" s="8">
        <v>0.12735592228708409</v>
      </c>
    </row>
    <row r="74" spans="1:5" ht="24.75">
      <c r="A74" s="8" t="s">
        <v>399</v>
      </c>
      <c r="B74" s="8" t="s">
        <v>253</v>
      </c>
      <c r="C74" s="8" t="s">
        <v>351</v>
      </c>
      <c r="D74" s="8" t="s">
        <v>1048</v>
      </c>
      <c r="E74" s="8">
        <v>1.0220719367152589</v>
      </c>
    </row>
    <row r="75" spans="1:5" ht="24.75">
      <c r="A75" s="8" t="s">
        <v>399</v>
      </c>
      <c r="B75" s="8" t="s">
        <v>253</v>
      </c>
      <c r="C75" s="8" t="s">
        <v>351</v>
      </c>
      <c r="D75" s="8" t="s">
        <v>1049</v>
      </c>
      <c r="E75" s="8">
        <v>0.1419896842434169</v>
      </c>
    </row>
    <row r="76" spans="1:5" ht="24.75">
      <c r="A76" s="8" t="s">
        <v>399</v>
      </c>
      <c r="B76" s="8" t="s">
        <v>253</v>
      </c>
      <c r="C76" s="8" t="s">
        <v>351</v>
      </c>
      <c r="D76" s="8" t="s">
        <v>1050</v>
      </c>
      <c r="E76" s="8">
        <v>0.12735592228708409</v>
      </c>
    </row>
    <row r="77" spans="1:5" ht="24.75">
      <c r="A77" s="8" t="s">
        <v>399</v>
      </c>
      <c r="B77" s="8" t="s">
        <v>253</v>
      </c>
      <c r="C77" s="8" t="s">
        <v>351</v>
      </c>
      <c r="D77" s="8" t="s">
        <v>1051</v>
      </c>
      <c r="E77" s="8">
        <v>0.99509108093912957</v>
      </c>
    </row>
    <row r="78" spans="1:5" ht="24.75">
      <c r="A78" s="8" t="s">
        <v>399</v>
      </c>
      <c r="B78" s="8" t="s">
        <v>253</v>
      </c>
      <c r="C78" s="8" t="s">
        <v>351</v>
      </c>
      <c r="D78" s="8" t="s">
        <v>1052</v>
      </c>
      <c r="E78" s="8">
        <v>0.22265611883890041</v>
      </c>
    </row>
    <row r="79" spans="1:5" ht="24.75">
      <c r="A79" s="8" t="s">
        <v>399</v>
      </c>
      <c r="B79" s="8" t="s">
        <v>253</v>
      </c>
      <c r="C79" s="8" t="s">
        <v>351</v>
      </c>
      <c r="D79" s="8" t="s">
        <v>1053</v>
      </c>
      <c r="E79" s="8">
        <v>1.3480146626828773E-2</v>
      </c>
    </row>
    <row r="80" spans="1:5" ht="24.75">
      <c r="A80" s="8" t="s">
        <v>399</v>
      </c>
      <c r="B80" s="8" t="s">
        <v>253</v>
      </c>
      <c r="C80" s="8" t="s">
        <v>351</v>
      </c>
      <c r="D80" s="8" t="s">
        <v>1054</v>
      </c>
      <c r="E80" s="8">
        <v>0.19901609233423254</v>
      </c>
    </row>
    <row r="81" spans="1:5" ht="24.75">
      <c r="A81" s="8" t="s">
        <v>399</v>
      </c>
      <c r="B81" s="8" t="s">
        <v>253</v>
      </c>
      <c r="C81" s="8" t="s">
        <v>351</v>
      </c>
      <c r="D81" s="8" t="s">
        <v>1055</v>
      </c>
      <c r="E81" s="8">
        <v>1.0043482099370697</v>
      </c>
    </row>
    <row r="82" spans="1:5" ht="24.75">
      <c r="A82" s="8" t="s">
        <v>399</v>
      </c>
      <c r="B82" s="8" t="s">
        <v>253</v>
      </c>
      <c r="C82" s="8" t="s">
        <v>351</v>
      </c>
      <c r="D82" s="8" t="s">
        <v>1056</v>
      </c>
      <c r="E82" s="8">
        <v>0.48951637317445418</v>
      </c>
    </row>
    <row r="83" spans="1:5" ht="24.75">
      <c r="A83" s="8" t="s">
        <v>399</v>
      </c>
      <c r="B83" s="8" t="s">
        <v>253</v>
      </c>
      <c r="C83" s="8" t="s">
        <v>351</v>
      </c>
      <c r="D83" s="8" t="s">
        <v>1057</v>
      </c>
      <c r="E83" s="8">
        <v>8.3117419119458386E-2</v>
      </c>
    </row>
    <row r="84" spans="1:5" ht="24.75">
      <c r="A84" s="8" t="s">
        <v>399</v>
      </c>
      <c r="B84" s="8" t="s">
        <v>253</v>
      </c>
      <c r="C84" s="8" t="s">
        <v>351</v>
      </c>
      <c r="D84" s="8" t="s">
        <v>1058</v>
      </c>
      <c r="E84" s="8">
        <v>0.31101049716007118</v>
      </c>
    </row>
    <row r="85" spans="1:5" ht="24.75">
      <c r="A85" s="8" t="s">
        <v>399</v>
      </c>
      <c r="B85" s="8" t="s">
        <v>253</v>
      </c>
      <c r="C85" s="8" t="s">
        <v>351</v>
      </c>
      <c r="D85" s="8" t="s">
        <v>1059</v>
      </c>
      <c r="E85" s="8">
        <v>4.62451666197903E-2</v>
      </c>
    </row>
    <row r="86" spans="1:5" ht="24.75">
      <c r="A86" s="8" t="s">
        <v>399</v>
      </c>
      <c r="B86" s="8" t="s">
        <v>253</v>
      </c>
      <c r="C86" s="8" t="s">
        <v>351</v>
      </c>
      <c r="D86" s="8" t="s">
        <v>1060</v>
      </c>
      <c r="E86" s="8">
        <v>3.7392527352586906E-2</v>
      </c>
    </row>
    <row r="87" spans="1:5" ht="24.75">
      <c r="A87" s="8" t="s">
        <v>399</v>
      </c>
      <c r="B87" s="8" t="s">
        <v>253</v>
      </c>
      <c r="C87" s="8" t="s">
        <v>351</v>
      </c>
      <c r="D87" s="8" t="s">
        <v>1061</v>
      </c>
      <c r="E87" s="8">
        <v>0.51619999999999888</v>
      </c>
    </row>
    <row r="88" spans="1:5" ht="24.75">
      <c r="A88" s="8" t="s">
        <v>399</v>
      </c>
      <c r="B88" s="8" t="s">
        <v>253</v>
      </c>
      <c r="C88" s="8" t="s">
        <v>351</v>
      </c>
      <c r="D88" s="8" t="s">
        <v>1062</v>
      </c>
      <c r="E88" s="8">
        <v>3.2400000000001296E-2</v>
      </c>
    </row>
    <row r="89" spans="1:5" ht="24.75">
      <c r="A89" s="8" t="s">
        <v>399</v>
      </c>
      <c r="B89" s="8" t="s">
        <v>253</v>
      </c>
      <c r="C89" s="8" t="s">
        <v>351</v>
      </c>
      <c r="D89" s="8" t="s">
        <v>1063</v>
      </c>
      <c r="E89" s="8">
        <v>0.52275330695930844</v>
      </c>
    </row>
    <row r="90" spans="1:5" ht="24.75">
      <c r="A90" s="8" t="s">
        <v>399</v>
      </c>
      <c r="B90" s="8" t="s">
        <v>253</v>
      </c>
      <c r="C90" s="8" t="s">
        <v>351</v>
      </c>
      <c r="D90" s="8" t="s">
        <v>1064</v>
      </c>
      <c r="E90" s="8">
        <v>1.0017212499170312</v>
      </c>
    </row>
    <row r="91" spans="1:5" ht="24.75">
      <c r="A91" s="8" t="s">
        <v>399</v>
      </c>
      <c r="B91" s="8" t="s">
        <v>253</v>
      </c>
      <c r="C91" s="8" t="s">
        <v>351</v>
      </c>
      <c r="D91" s="8" t="s">
        <v>1065</v>
      </c>
      <c r="E91" s="8">
        <v>0.31098191624931626</v>
      </c>
    </row>
    <row r="92" spans="1:5" ht="24.75">
      <c r="A92" s="8" t="s">
        <v>399</v>
      </c>
      <c r="B92" s="8" t="s">
        <v>253</v>
      </c>
      <c r="C92" s="8" t="s">
        <v>351</v>
      </c>
      <c r="D92" s="8" t="s">
        <v>1066</v>
      </c>
      <c r="E92" s="8">
        <v>7.3765264253387461E-2</v>
      </c>
    </row>
    <row r="93" spans="1:5" ht="24.75">
      <c r="A93" s="8" t="s">
        <v>399</v>
      </c>
      <c r="B93" s="8" t="s">
        <v>253</v>
      </c>
      <c r="C93" s="8" t="s">
        <v>351</v>
      </c>
      <c r="D93" s="8" t="s">
        <v>1067</v>
      </c>
      <c r="E93" s="8">
        <v>1.0017212499170312</v>
      </c>
    </row>
    <row r="94" spans="1:5" ht="24.75">
      <c r="A94" s="8" t="s">
        <v>399</v>
      </c>
      <c r="B94" s="8" t="s">
        <v>253</v>
      </c>
      <c r="C94" s="8" t="s">
        <v>351</v>
      </c>
      <c r="D94" s="8" t="s">
        <v>1068</v>
      </c>
      <c r="E94" s="8">
        <v>0.31098191624931626</v>
      </c>
    </row>
    <row r="95" spans="1:5" ht="24.75">
      <c r="A95" s="8" t="s">
        <v>399</v>
      </c>
      <c r="B95" s="8" t="s">
        <v>253</v>
      </c>
      <c r="C95" s="8" t="s">
        <v>351</v>
      </c>
      <c r="D95" s="8" t="s">
        <v>1069</v>
      </c>
      <c r="E95" s="8">
        <v>7.3765264253387461E-2</v>
      </c>
    </row>
    <row r="96" spans="1:5" ht="24.75">
      <c r="A96" s="8" t="s">
        <v>399</v>
      </c>
      <c r="B96" s="8" t="s">
        <v>253</v>
      </c>
      <c r="C96" s="8" t="s">
        <v>351</v>
      </c>
      <c r="D96" s="8" t="s">
        <v>1070</v>
      </c>
      <c r="E96" s="8">
        <v>0.14298101845285383</v>
      </c>
    </row>
    <row r="97" spans="1:5" ht="24.75">
      <c r="A97" s="8" t="s">
        <v>399</v>
      </c>
      <c r="B97" s="8" t="s">
        <v>253</v>
      </c>
      <c r="C97" s="8" t="s">
        <v>351</v>
      </c>
      <c r="D97" s="8" t="s">
        <v>1071</v>
      </c>
      <c r="E97" s="8">
        <v>0.9412103588793963</v>
      </c>
    </row>
    <row r="98" spans="1:5" ht="24.75">
      <c r="A98" s="8" t="s">
        <v>399</v>
      </c>
      <c r="B98" s="8" t="s">
        <v>253</v>
      </c>
      <c r="C98" s="8" t="s">
        <v>351</v>
      </c>
      <c r="D98" s="8" t="s">
        <v>1072</v>
      </c>
      <c r="E98" s="8">
        <v>8.2497165640315021E-2</v>
      </c>
    </row>
    <row r="99" spans="1:5" ht="24.75">
      <c r="A99" s="8" t="s">
        <v>399</v>
      </c>
      <c r="B99" s="8" t="s">
        <v>253</v>
      </c>
      <c r="C99" s="8" t="s">
        <v>351</v>
      </c>
      <c r="D99" s="8" t="s">
        <v>1073</v>
      </c>
      <c r="E99" s="8">
        <v>3.0139519231838788E-2</v>
      </c>
    </row>
    <row r="100" spans="1:5" ht="24.75">
      <c r="A100" s="8" t="s">
        <v>399</v>
      </c>
      <c r="B100" s="8" t="s">
        <v>253</v>
      </c>
      <c r="C100" s="8" t="s">
        <v>351</v>
      </c>
      <c r="D100" s="8" t="s">
        <v>1074</v>
      </c>
      <c r="E100" s="8">
        <v>3.2400069742101328E-2</v>
      </c>
    </row>
    <row r="101" spans="1:5" ht="24.75">
      <c r="A101" s="8" t="s">
        <v>399</v>
      </c>
      <c r="B101" s="8" t="s">
        <v>253</v>
      </c>
      <c r="C101" s="8" t="s">
        <v>351</v>
      </c>
      <c r="D101" s="8" t="s">
        <v>1075</v>
      </c>
      <c r="E101" s="8">
        <v>0.50110376470753382</v>
      </c>
    </row>
    <row r="102" spans="1:5" ht="24.75">
      <c r="A102" s="8" t="s">
        <v>399</v>
      </c>
      <c r="B102" s="8" t="s">
        <v>253</v>
      </c>
      <c r="C102" s="8" t="s">
        <v>351</v>
      </c>
      <c r="D102" s="8" t="s">
        <v>1076</v>
      </c>
      <c r="E102" s="8">
        <v>2.9744573239420483E-2</v>
      </c>
    </row>
    <row r="103" spans="1:5" ht="24.75">
      <c r="A103" s="8" t="s">
        <v>399</v>
      </c>
      <c r="B103" s="8" t="s">
        <v>253</v>
      </c>
      <c r="C103" s="8" t="s">
        <v>351</v>
      </c>
      <c r="D103" s="8" t="s">
        <v>1077</v>
      </c>
      <c r="E103" s="8">
        <v>9.7587748622514056E-2</v>
      </c>
    </row>
    <row r="104" spans="1:5" ht="24.75">
      <c r="A104" s="8" t="s">
        <v>399</v>
      </c>
      <c r="B104" s="8" t="s">
        <v>253</v>
      </c>
      <c r="C104" s="8" t="s">
        <v>351</v>
      </c>
      <c r="D104" s="8" t="s">
        <v>1078</v>
      </c>
      <c r="E104" s="8">
        <v>1.0455922664619015</v>
      </c>
    </row>
    <row r="105" spans="1:5" ht="24.75">
      <c r="A105" s="8" t="s">
        <v>399</v>
      </c>
      <c r="B105" s="8" t="s">
        <v>253</v>
      </c>
      <c r="C105" s="8" t="s">
        <v>351</v>
      </c>
      <c r="D105" s="8" t="s">
        <v>1079</v>
      </c>
      <c r="E105" s="8">
        <v>0.22815968403121464</v>
      </c>
    </row>
    <row r="106" spans="1:5" ht="24.75">
      <c r="A106" s="8" t="s">
        <v>399</v>
      </c>
      <c r="B106" s="8" t="s">
        <v>253</v>
      </c>
      <c r="C106" s="8" t="s">
        <v>351</v>
      </c>
      <c r="D106" s="8" t="s">
        <v>1080</v>
      </c>
      <c r="E106" s="8">
        <v>0.59173304389000447</v>
      </c>
    </row>
    <row r="107" spans="1:5" ht="24.75">
      <c r="A107" s="8" t="s">
        <v>399</v>
      </c>
      <c r="B107" s="8" t="s">
        <v>253</v>
      </c>
      <c r="C107" s="8" t="s">
        <v>351</v>
      </c>
      <c r="D107" s="8" t="s">
        <v>1081</v>
      </c>
      <c r="E107" s="8">
        <v>1.0480442348831005</v>
      </c>
    </row>
    <row r="108" spans="1:5" ht="24.75">
      <c r="A108" s="8" t="s">
        <v>399</v>
      </c>
      <c r="B108" s="8" t="s">
        <v>253</v>
      </c>
      <c r="C108" s="8" t="s">
        <v>351</v>
      </c>
      <c r="D108" s="8" t="s">
        <v>1082</v>
      </c>
      <c r="E108" s="8">
        <v>0.2282523896238538</v>
      </c>
    </row>
    <row r="109" spans="1:5" ht="24.75">
      <c r="A109" s="8" t="s">
        <v>399</v>
      </c>
      <c r="B109" s="8" t="s">
        <v>253</v>
      </c>
      <c r="C109" s="8" t="s">
        <v>351</v>
      </c>
      <c r="D109" s="8" t="s">
        <v>1083</v>
      </c>
      <c r="E109" s="8">
        <v>0.4690174000046704</v>
      </c>
    </row>
    <row r="110" spans="1:5" ht="24.75">
      <c r="A110" s="8" t="s">
        <v>399</v>
      </c>
      <c r="B110" s="8" t="s">
        <v>253</v>
      </c>
      <c r="C110" s="8" t="s">
        <v>351</v>
      </c>
      <c r="D110" s="8" t="s">
        <v>1084</v>
      </c>
      <c r="E110" s="8">
        <v>0.97441690519352353</v>
      </c>
    </row>
    <row r="111" spans="1:5" ht="24.75">
      <c r="A111" s="8" t="s">
        <v>399</v>
      </c>
      <c r="B111" s="8" t="s">
        <v>253</v>
      </c>
      <c r="C111" s="8" t="s">
        <v>351</v>
      </c>
      <c r="D111" s="8" t="s">
        <v>1085</v>
      </c>
      <c r="E111" s="8">
        <v>8.4105768493076674E-2</v>
      </c>
    </row>
    <row r="112" spans="1:5" ht="24.75">
      <c r="A112" s="8" t="s">
        <v>399</v>
      </c>
      <c r="B112" s="8" t="s">
        <v>253</v>
      </c>
      <c r="C112" s="8" t="s">
        <v>351</v>
      </c>
      <c r="D112" s="8" t="s">
        <v>1086</v>
      </c>
      <c r="E112" s="8">
        <v>2.3904505810005878E-2</v>
      </c>
    </row>
    <row r="113" spans="1:5" ht="24.75">
      <c r="A113" s="8" t="s">
        <v>399</v>
      </c>
      <c r="B113" s="8" t="s">
        <v>253</v>
      </c>
      <c r="C113" s="8" t="s">
        <v>351</v>
      </c>
      <c r="D113" s="8" t="s">
        <v>1087</v>
      </c>
      <c r="E113" s="8">
        <v>7.305674365682821E-2</v>
      </c>
    </row>
    <row r="114" spans="1:5" ht="24.75">
      <c r="A114" s="8" t="s">
        <v>399</v>
      </c>
      <c r="B114" s="8" t="s">
        <v>253</v>
      </c>
      <c r="C114" s="8" t="s">
        <v>351</v>
      </c>
      <c r="D114" s="8" t="s">
        <v>1088</v>
      </c>
      <c r="E114" s="8">
        <v>1.054580112557209</v>
      </c>
    </row>
    <row r="115" spans="1:5" ht="24.75">
      <c r="A115" s="8" t="s">
        <v>399</v>
      </c>
      <c r="B115" s="8" t="s">
        <v>253</v>
      </c>
      <c r="C115" s="8" t="s">
        <v>351</v>
      </c>
      <c r="D115" s="8" t="s">
        <v>1089</v>
      </c>
      <c r="E115" s="8">
        <v>6.9038519213815666E-2</v>
      </c>
    </row>
    <row r="116" spans="1:5" ht="24.75">
      <c r="A116" s="8" t="s">
        <v>399</v>
      </c>
      <c r="B116" s="8" t="s">
        <v>253</v>
      </c>
      <c r="C116" s="8" t="s">
        <v>351</v>
      </c>
      <c r="D116" s="8" t="s">
        <v>1090</v>
      </c>
      <c r="E116" s="8">
        <v>3.2874866917939463E-2</v>
      </c>
    </row>
    <row r="117" spans="1:5" ht="24.75">
      <c r="A117" s="8" t="s">
        <v>399</v>
      </c>
      <c r="B117" s="8" t="s">
        <v>253</v>
      </c>
      <c r="C117" s="8" t="s">
        <v>351</v>
      </c>
      <c r="D117" s="8" t="s">
        <v>1091</v>
      </c>
      <c r="E117" s="8">
        <v>0.11364987090357899</v>
      </c>
    </row>
    <row r="118" spans="1:5" ht="24.75">
      <c r="A118" s="8" t="s">
        <v>399</v>
      </c>
      <c r="B118" s="8" t="s">
        <v>253</v>
      </c>
      <c r="C118" s="8" t="s">
        <v>351</v>
      </c>
      <c r="D118" s="8" t="s">
        <v>1092</v>
      </c>
      <c r="E118" s="8">
        <v>0.30297013254264726</v>
      </c>
    </row>
    <row r="119" spans="1:5">
      <c r="A119" s="1" t="s">
        <v>246</v>
      </c>
      <c r="B119" s="1" t="s">
        <v>246</v>
      </c>
      <c r="C119" s="1">
        <f>SUBTOTAL(103,Elements13_3_301[Elemento])</f>
        <v>112</v>
      </c>
      <c r="D119" s="1" t="s">
        <v>246</v>
      </c>
      <c r="E119" s="1">
        <f>SUBTOTAL(109,Elements13_3_301[Totais:])</f>
        <v>43.841066552226422</v>
      </c>
    </row>
  </sheetData>
  <mergeCells count="3">
    <mergeCell ref="A1:E2"/>
    <mergeCell ref="A4:E4"/>
    <mergeCell ref="A5:E5"/>
  </mergeCells>
  <hyperlinks>
    <hyperlink ref="A1" location="'13.3.30'!A1" display="TUBO PVC, SERIE NORMAL, ESGOTO PREDIAL, DN 40 MM, FORNECIDO E INSTALADO EM RAMAL DE DESCARGA OU RAMAL DE ESGOTO SANITÁRIO. AF_08/2022" xr:uid="{00000000-0004-0000-5E00-000000000000}"/>
    <hyperlink ref="B1" location="'13.3.30'!A1" display="TUBO PVC, SERIE NORMAL, ESGOTO PREDIAL, DN 40 MM, FORNECIDO E INSTALADO EM RAMAL DE DESCARGA OU RAMAL DE ESGOTO SANITÁRIO. AF_08/2022" xr:uid="{00000000-0004-0000-5E00-000001000000}"/>
    <hyperlink ref="C1" location="'13.3.30'!A1" display="TUBO PVC, SERIE NORMAL, ESGOTO PREDIAL, DN 40 MM, FORNECIDO E INSTALADO EM RAMAL DE DESCARGA OU RAMAL DE ESGOTO SANITÁRIO. AF_08/2022" xr:uid="{00000000-0004-0000-5E00-000002000000}"/>
    <hyperlink ref="D1" location="'13.3.30'!A1" display="TUBO PVC, SERIE NORMAL, ESGOTO PREDIAL, DN 40 MM, FORNECIDO E INSTALADO EM RAMAL DE DESCARGA OU RAMAL DE ESGOTO SANITÁRIO. AF_08/2022" xr:uid="{00000000-0004-0000-5E00-000003000000}"/>
    <hyperlink ref="E1" location="'13.3.30'!A1" display="TUBO PVC, SERIE NORMAL, ESGOTO PREDIAL, DN 40 MM, FORNECIDO E INSTALADO EM RAMAL DE DESCARGA OU RAMAL DE ESGOTO SANITÁRIO. AF_08/2022" xr:uid="{00000000-0004-0000-5E00-000004000000}"/>
    <hyperlink ref="A2" location="'13.3.30'!A1" display="TUBO PVC, SERIE NORMAL, ESGOTO PREDIAL, DN 40 MM, FORNECIDO E INSTALADO EM RAMAL DE DESCARGA OU RAMAL DE ESGOTO SANITÁRIO. AF_08/2022" xr:uid="{00000000-0004-0000-5E00-000005000000}"/>
    <hyperlink ref="B2" location="'13.3.30'!A1" display="TUBO PVC, SERIE NORMAL, ESGOTO PREDIAL, DN 40 MM, FORNECIDO E INSTALADO EM RAMAL DE DESCARGA OU RAMAL DE ESGOTO SANITÁRIO. AF_08/2022" xr:uid="{00000000-0004-0000-5E00-000006000000}"/>
    <hyperlink ref="C2" location="'13.3.30'!A1" display="TUBO PVC, SERIE NORMAL, ESGOTO PREDIAL, DN 40 MM, FORNECIDO E INSTALADO EM RAMAL DE DESCARGA OU RAMAL DE ESGOTO SANITÁRIO. AF_08/2022" xr:uid="{00000000-0004-0000-5E00-000007000000}"/>
    <hyperlink ref="D2" location="'13.3.30'!A1" display="TUBO PVC, SERIE NORMAL, ESGOTO PREDIAL, DN 40 MM, FORNECIDO E INSTALADO EM RAMAL DE DESCARGA OU RAMAL DE ESGOTO SANITÁRIO. AF_08/2022" xr:uid="{00000000-0004-0000-5E00-000008000000}"/>
    <hyperlink ref="E2" location="'13.3.30'!A1" display="TUBO PVC, SERIE NORMAL, ESGOTO PREDIAL, DN 40 MM, FORNECIDO E INSTALADO EM RAMAL DE DESCARGA OU RAMAL DE ESGOTO SANITÁRIO. AF_08/2022" xr:uid="{00000000-0004-0000-5E00-000009000000}"/>
    <hyperlink ref="A4" location="'13.3.30'!A1" display="Tubulação (Comprimento)" xr:uid="{00000000-0004-0000-5E00-00000A000000}"/>
    <hyperlink ref="B4" location="'13.3.30'!A1" display="Tubulação (Comprimento)" xr:uid="{00000000-0004-0000-5E00-00000B000000}"/>
    <hyperlink ref="C4" location="'13.3.30'!A1" display="Tubulação (Comprimento)" xr:uid="{00000000-0004-0000-5E00-00000C000000}"/>
    <hyperlink ref="D4" location="'13.3.30'!A1" display="Tubulação (Comprimento)" xr:uid="{00000000-0004-0000-5E00-00000D000000}"/>
    <hyperlink ref="E4" location="'13.3.30'!A1" display="Tubulação (Comprimento)" xr:uid="{00000000-0004-0000-5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dimension ref="A1:E141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131</v>
      </c>
      <c r="B1" s="20" t="s">
        <v>131</v>
      </c>
      <c r="C1" s="20" t="s">
        <v>131</v>
      </c>
      <c r="D1" s="20" t="s">
        <v>131</v>
      </c>
      <c r="E1" s="20" t="s">
        <v>131</v>
      </c>
    </row>
    <row r="2" spans="1:5">
      <c r="A2" s="20" t="s">
        <v>131</v>
      </c>
      <c r="B2" s="20" t="s">
        <v>131</v>
      </c>
      <c r="C2" s="20" t="s">
        <v>131</v>
      </c>
      <c r="D2" s="20" t="s">
        <v>131</v>
      </c>
      <c r="E2" s="20" t="s">
        <v>131</v>
      </c>
    </row>
    <row r="4" spans="1:5">
      <c r="A4" s="15" t="s">
        <v>292</v>
      </c>
      <c r="B4" s="15" t="s">
        <v>292</v>
      </c>
      <c r="C4" s="15" t="s">
        <v>292</v>
      </c>
      <c r="D4" s="15" t="s">
        <v>292</v>
      </c>
      <c r="E4" s="15" t="s">
        <v>292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351</v>
      </c>
      <c r="D7" s="8" t="s">
        <v>1093</v>
      </c>
      <c r="E7" s="8">
        <v>0.13492535392584354</v>
      </c>
    </row>
    <row r="8" spans="1:5" ht="24.75">
      <c r="A8" s="8" t="s">
        <v>399</v>
      </c>
      <c r="B8" s="8" t="s">
        <v>253</v>
      </c>
      <c r="C8" s="8" t="s">
        <v>351</v>
      </c>
      <c r="D8" s="8" t="s">
        <v>1094</v>
      </c>
      <c r="E8" s="8">
        <v>0.81522180167389169</v>
      </c>
    </row>
    <row r="9" spans="1:5" ht="24.75">
      <c r="A9" s="8" t="s">
        <v>399</v>
      </c>
      <c r="B9" s="8" t="s">
        <v>253</v>
      </c>
      <c r="C9" s="8" t="s">
        <v>351</v>
      </c>
      <c r="D9" s="8" t="s">
        <v>1095</v>
      </c>
      <c r="E9" s="8">
        <v>1.2757531044680191E-2</v>
      </c>
    </row>
    <row r="10" spans="1:5" ht="24.75">
      <c r="A10" s="8" t="s">
        <v>399</v>
      </c>
      <c r="B10" s="8" t="s">
        <v>253</v>
      </c>
      <c r="C10" s="8" t="s">
        <v>351</v>
      </c>
      <c r="D10" s="8" t="s">
        <v>1096</v>
      </c>
      <c r="E10" s="8">
        <v>0.97289358642083168</v>
      </c>
    </row>
    <row r="11" spans="1:5" ht="24.75">
      <c r="A11" s="8" t="s">
        <v>399</v>
      </c>
      <c r="B11" s="8" t="s">
        <v>253</v>
      </c>
      <c r="C11" s="8" t="s">
        <v>351</v>
      </c>
      <c r="D11" s="8" t="s">
        <v>1097</v>
      </c>
      <c r="E11" s="8">
        <v>0.31966207836669691</v>
      </c>
    </row>
    <row r="12" spans="1:5" ht="24.75">
      <c r="A12" s="8" t="s">
        <v>399</v>
      </c>
      <c r="B12" s="8" t="s">
        <v>253</v>
      </c>
      <c r="C12" s="8" t="s">
        <v>351</v>
      </c>
      <c r="D12" s="8" t="s">
        <v>1098</v>
      </c>
      <c r="E12" s="8">
        <v>1.7383538122540509</v>
      </c>
    </row>
    <row r="13" spans="1:5" ht="24.75">
      <c r="A13" s="8" t="s">
        <v>399</v>
      </c>
      <c r="B13" s="8" t="s">
        <v>253</v>
      </c>
      <c r="C13" s="8" t="s">
        <v>351</v>
      </c>
      <c r="D13" s="8" t="s">
        <v>1099</v>
      </c>
      <c r="E13" s="8">
        <v>0.33019226368555171</v>
      </c>
    </row>
    <row r="14" spans="1:5" ht="24.75">
      <c r="A14" s="8" t="s">
        <v>399</v>
      </c>
      <c r="B14" s="8" t="s">
        <v>253</v>
      </c>
      <c r="C14" s="8" t="s">
        <v>351</v>
      </c>
      <c r="D14" s="8" t="s">
        <v>1100</v>
      </c>
      <c r="E14" s="8">
        <v>0.19025060413449599</v>
      </c>
    </row>
    <row r="15" spans="1:5" ht="24.75">
      <c r="A15" s="8" t="s">
        <v>399</v>
      </c>
      <c r="B15" s="8" t="s">
        <v>253</v>
      </c>
      <c r="C15" s="8" t="s">
        <v>351</v>
      </c>
      <c r="D15" s="8" t="s">
        <v>1101</v>
      </c>
      <c r="E15" s="8">
        <v>1.1838928829208704</v>
      </c>
    </row>
    <row r="16" spans="1:5" ht="24.75">
      <c r="A16" s="8" t="s">
        <v>399</v>
      </c>
      <c r="B16" s="8" t="s">
        <v>253</v>
      </c>
      <c r="C16" s="8" t="s">
        <v>351</v>
      </c>
      <c r="D16" s="8" t="s">
        <v>1102</v>
      </c>
      <c r="E16" s="8">
        <v>4.4569100745176435E-3</v>
      </c>
    </row>
    <row r="17" spans="1:5" ht="24.75">
      <c r="A17" s="8" t="s">
        <v>399</v>
      </c>
      <c r="B17" s="8" t="s">
        <v>253</v>
      </c>
      <c r="C17" s="8" t="s">
        <v>351</v>
      </c>
      <c r="D17" s="8" t="s">
        <v>1103</v>
      </c>
      <c r="E17" s="8">
        <v>4.8028766816209458</v>
      </c>
    </row>
    <row r="18" spans="1:5" ht="24.75">
      <c r="A18" s="8" t="s">
        <v>399</v>
      </c>
      <c r="B18" s="8" t="s">
        <v>253</v>
      </c>
      <c r="C18" s="8" t="s">
        <v>351</v>
      </c>
      <c r="D18" s="8" t="s">
        <v>1104</v>
      </c>
      <c r="E18" s="8">
        <v>0.81304897281523969</v>
      </c>
    </row>
    <row r="19" spans="1:5" ht="24.75">
      <c r="A19" s="8" t="s">
        <v>399</v>
      </c>
      <c r="B19" s="8" t="s">
        <v>253</v>
      </c>
      <c r="C19" s="8" t="s">
        <v>351</v>
      </c>
      <c r="D19" s="8" t="s">
        <v>1105</v>
      </c>
      <c r="E19" s="8">
        <v>4.213937547634087</v>
      </c>
    </row>
    <row r="20" spans="1:5" ht="24.75">
      <c r="A20" s="8" t="s">
        <v>399</v>
      </c>
      <c r="B20" s="8" t="s">
        <v>253</v>
      </c>
      <c r="C20" s="8" t="s">
        <v>351</v>
      </c>
      <c r="D20" s="8" t="s">
        <v>1106</v>
      </c>
      <c r="E20" s="8">
        <v>5.3818454513120499E-3</v>
      </c>
    </row>
    <row r="21" spans="1:5" ht="24.75">
      <c r="A21" s="8" t="s">
        <v>399</v>
      </c>
      <c r="B21" s="8" t="s">
        <v>253</v>
      </c>
      <c r="C21" s="8" t="s">
        <v>351</v>
      </c>
      <c r="D21" s="8" t="s">
        <v>1107</v>
      </c>
      <c r="E21" s="8">
        <v>2.3740307630165458</v>
      </c>
    </row>
    <row r="22" spans="1:5" ht="24.75">
      <c r="A22" s="8" t="s">
        <v>399</v>
      </c>
      <c r="B22" s="8" t="s">
        <v>253</v>
      </c>
      <c r="C22" s="8" t="s">
        <v>351</v>
      </c>
      <c r="D22" s="8" t="s">
        <v>1108</v>
      </c>
      <c r="E22" s="8">
        <v>0.12806482361895211</v>
      </c>
    </row>
    <row r="23" spans="1:5" ht="24.75">
      <c r="A23" s="8" t="s">
        <v>399</v>
      </c>
      <c r="B23" s="8" t="s">
        <v>253</v>
      </c>
      <c r="C23" s="8" t="s">
        <v>351</v>
      </c>
      <c r="D23" s="8" t="s">
        <v>1109</v>
      </c>
      <c r="E23" s="8">
        <v>3.4796718968383962</v>
      </c>
    </row>
    <row r="24" spans="1:5" ht="24.75">
      <c r="A24" s="8" t="s">
        <v>399</v>
      </c>
      <c r="B24" s="8" t="s">
        <v>253</v>
      </c>
      <c r="C24" s="8" t="s">
        <v>351</v>
      </c>
      <c r="D24" s="8" t="s">
        <v>1110</v>
      </c>
      <c r="E24" s="8">
        <v>0.54691930687735357</v>
      </c>
    </row>
    <row r="25" spans="1:5" ht="24.75">
      <c r="A25" s="8" t="s">
        <v>399</v>
      </c>
      <c r="B25" s="8" t="s">
        <v>253</v>
      </c>
      <c r="C25" s="8" t="s">
        <v>351</v>
      </c>
      <c r="D25" s="8" t="s">
        <v>1111</v>
      </c>
      <c r="E25" s="8">
        <v>8.3050136083511653E-2</v>
      </c>
    </row>
    <row r="26" spans="1:5" ht="24.75">
      <c r="A26" s="8" t="s">
        <v>399</v>
      </c>
      <c r="B26" s="8" t="s">
        <v>253</v>
      </c>
      <c r="C26" s="8" t="s">
        <v>351</v>
      </c>
      <c r="D26" s="8" t="s">
        <v>1112</v>
      </c>
      <c r="E26" s="8">
        <v>0.72259999999999047</v>
      </c>
    </row>
    <row r="27" spans="1:5" ht="24.75">
      <c r="A27" s="8" t="s">
        <v>399</v>
      </c>
      <c r="B27" s="8" t="s">
        <v>253</v>
      </c>
      <c r="C27" s="8" t="s">
        <v>351</v>
      </c>
      <c r="D27" s="8" t="s">
        <v>1113</v>
      </c>
      <c r="E27" s="8">
        <v>0.95289594943877298</v>
      </c>
    </row>
    <row r="28" spans="1:5" ht="24.75">
      <c r="A28" s="8" t="s">
        <v>399</v>
      </c>
      <c r="B28" s="8" t="s">
        <v>253</v>
      </c>
      <c r="C28" s="8" t="s">
        <v>351</v>
      </c>
      <c r="D28" s="8" t="s">
        <v>1114</v>
      </c>
      <c r="E28" s="8">
        <v>5.0348611555129725</v>
      </c>
    </row>
    <row r="29" spans="1:5" ht="24.75">
      <c r="A29" s="8" t="s">
        <v>399</v>
      </c>
      <c r="B29" s="8" t="s">
        <v>253</v>
      </c>
      <c r="C29" s="8" t="s">
        <v>351</v>
      </c>
      <c r="D29" s="8" t="s">
        <v>1115</v>
      </c>
      <c r="E29" s="8">
        <v>2.1835839475473287</v>
      </c>
    </row>
    <row r="30" spans="1:5" ht="24.75">
      <c r="A30" s="8" t="s">
        <v>399</v>
      </c>
      <c r="B30" s="8" t="s">
        <v>253</v>
      </c>
      <c r="C30" s="8" t="s">
        <v>351</v>
      </c>
      <c r="D30" s="8" t="s">
        <v>1116</v>
      </c>
      <c r="E30" s="8">
        <v>2.9618576891371124</v>
      </c>
    </row>
    <row r="31" spans="1:5" ht="24.75">
      <c r="A31" s="8" t="s">
        <v>399</v>
      </c>
      <c r="B31" s="8" t="s">
        <v>253</v>
      </c>
      <c r="C31" s="8" t="s">
        <v>351</v>
      </c>
      <c r="D31" s="8" t="s">
        <v>1117</v>
      </c>
      <c r="E31" s="8">
        <v>1.1393356941154285E-2</v>
      </c>
    </row>
    <row r="32" spans="1:5" ht="24.75">
      <c r="A32" s="8" t="s">
        <v>399</v>
      </c>
      <c r="B32" s="8" t="s">
        <v>253</v>
      </c>
      <c r="C32" s="8" t="s">
        <v>351</v>
      </c>
      <c r="D32" s="8" t="s">
        <v>1118</v>
      </c>
      <c r="E32" s="8">
        <v>2.3486861906266165</v>
      </c>
    </row>
    <row r="33" spans="1:5" ht="24.75">
      <c r="A33" s="8" t="s">
        <v>399</v>
      </c>
      <c r="B33" s="8" t="s">
        <v>253</v>
      </c>
      <c r="C33" s="8" t="s">
        <v>351</v>
      </c>
      <c r="D33" s="8" t="s">
        <v>1119</v>
      </c>
      <c r="E33" s="8">
        <v>0.51882622432460579</v>
      </c>
    </row>
    <row r="34" spans="1:5" ht="24.75">
      <c r="A34" s="8" t="s">
        <v>399</v>
      </c>
      <c r="B34" s="8" t="s">
        <v>253</v>
      </c>
      <c r="C34" s="8" t="s">
        <v>351</v>
      </c>
      <c r="D34" s="8" t="s">
        <v>1120</v>
      </c>
      <c r="E34" s="8">
        <v>6.9485436943017643E-3</v>
      </c>
    </row>
    <row r="35" spans="1:5" ht="24.75">
      <c r="A35" s="8" t="s">
        <v>399</v>
      </c>
      <c r="B35" s="8" t="s">
        <v>253</v>
      </c>
      <c r="C35" s="8" t="s">
        <v>351</v>
      </c>
      <c r="D35" s="8" t="s">
        <v>1121</v>
      </c>
      <c r="E35" s="8">
        <v>0.75458106972768046</v>
      </c>
    </row>
    <row r="36" spans="1:5" ht="24.75">
      <c r="A36" s="8" t="s">
        <v>399</v>
      </c>
      <c r="B36" s="8" t="s">
        <v>253</v>
      </c>
      <c r="C36" s="8" t="s">
        <v>351</v>
      </c>
      <c r="D36" s="8" t="s">
        <v>1122</v>
      </c>
      <c r="E36" s="8">
        <v>2.7402475067432749E-3</v>
      </c>
    </row>
    <row r="37" spans="1:5" ht="24.75">
      <c r="A37" s="8" t="s">
        <v>399</v>
      </c>
      <c r="B37" s="8" t="s">
        <v>253</v>
      </c>
      <c r="C37" s="8" t="s">
        <v>351</v>
      </c>
      <c r="D37" s="8" t="s">
        <v>1123</v>
      </c>
      <c r="E37" s="8">
        <v>0.45744379905409027</v>
      </c>
    </row>
    <row r="38" spans="1:5" ht="24.75">
      <c r="A38" s="8" t="s">
        <v>399</v>
      </c>
      <c r="B38" s="8" t="s">
        <v>253</v>
      </c>
      <c r="C38" s="8" t="s">
        <v>351</v>
      </c>
      <c r="D38" s="8" t="s">
        <v>1124</v>
      </c>
      <c r="E38" s="8">
        <v>9.3762598566628733E-2</v>
      </c>
    </row>
    <row r="39" spans="1:5" ht="24.75">
      <c r="A39" s="8" t="s">
        <v>399</v>
      </c>
      <c r="B39" s="8" t="s">
        <v>253</v>
      </c>
      <c r="C39" s="8" t="s">
        <v>351</v>
      </c>
      <c r="D39" s="8" t="s">
        <v>1125</v>
      </c>
      <c r="E39" s="8">
        <v>0.75459950569051082</v>
      </c>
    </row>
    <row r="40" spans="1:5" ht="24.75">
      <c r="A40" s="8" t="s">
        <v>399</v>
      </c>
      <c r="B40" s="8" t="s">
        <v>253</v>
      </c>
      <c r="C40" s="8" t="s">
        <v>351</v>
      </c>
      <c r="D40" s="8" t="s">
        <v>1126</v>
      </c>
      <c r="E40" s="8">
        <v>2.7596687066631796E-3</v>
      </c>
    </row>
    <row r="41" spans="1:5" ht="24.75">
      <c r="A41" s="8" t="s">
        <v>399</v>
      </c>
      <c r="B41" s="8" t="s">
        <v>253</v>
      </c>
      <c r="C41" s="8" t="s">
        <v>351</v>
      </c>
      <c r="D41" s="8" t="s">
        <v>1127</v>
      </c>
      <c r="E41" s="8">
        <v>0.51882711083551958</v>
      </c>
    </row>
    <row r="42" spans="1:5" ht="24.75">
      <c r="A42" s="8" t="s">
        <v>399</v>
      </c>
      <c r="B42" s="8" t="s">
        <v>253</v>
      </c>
      <c r="C42" s="8" t="s">
        <v>351</v>
      </c>
      <c r="D42" s="8" t="s">
        <v>1128</v>
      </c>
      <c r="E42" s="8">
        <v>6.9441177451462048E-3</v>
      </c>
    </row>
    <row r="43" spans="1:5" ht="24.75">
      <c r="A43" s="8" t="s">
        <v>399</v>
      </c>
      <c r="B43" s="8" t="s">
        <v>253</v>
      </c>
      <c r="C43" s="8" t="s">
        <v>351</v>
      </c>
      <c r="D43" s="8" t="s">
        <v>1129</v>
      </c>
      <c r="E43" s="8">
        <v>0.75457378498764094</v>
      </c>
    </row>
    <row r="44" spans="1:5" ht="24.75">
      <c r="A44" s="8" t="s">
        <v>399</v>
      </c>
      <c r="B44" s="8" t="s">
        <v>253</v>
      </c>
      <c r="C44" s="8" t="s">
        <v>351</v>
      </c>
      <c r="D44" s="8" t="s">
        <v>1130</v>
      </c>
      <c r="E44" s="8">
        <v>2.7278023764276921E-3</v>
      </c>
    </row>
    <row r="45" spans="1:5" ht="24.75">
      <c r="A45" s="8" t="s">
        <v>399</v>
      </c>
      <c r="B45" s="8" t="s">
        <v>253</v>
      </c>
      <c r="C45" s="8" t="s">
        <v>351</v>
      </c>
      <c r="D45" s="8" t="s">
        <v>1131</v>
      </c>
      <c r="E45" s="8">
        <v>0.51882768770161858</v>
      </c>
    </row>
    <row r="46" spans="1:5" ht="24.75">
      <c r="A46" s="8" t="s">
        <v>399</v>
      </c>
      <c r="B46" s="8" t="s">
        <v>253</v>
      </c>
      <c r="C46" s="8" t="s">
        <v>351</v>
      </c>
      <c r="D46" s="8" t="s">
        <v>1132</v>
      </c>
      <c r="E46" s="8">
        <v>6.9304034408072283E-3</v>
      </c>
    </row>
    <row r="47" spans="1:5" ht="24.75">
      <c r="A47" s="8" t="s">
        <v>399</v>
      </c>
      <c r="B47" s="8" t="s">
        <v>253</v>
      </c>
      <c r="C47" s="8" t="s">
        <v>351</v>
      </c>
      <c r="D47" s="8" t="s">
        <v>1133</v>
      </c>
      <c r="E47" s="8">
        <v>0.75459341074231834</v>
      </c>
    </row>
    <row r="48" spans="1:5" ht="24.75">
      <c r="A48" s="8" t="s">
        <v>399</v>
      </c>
      <c r="B48" s="8" t="s">
        <v>253</v>
      </c>
      <c r="C48" s="8" t="s">
        <v>351</v>
      </c>
      <c r="D48" s="8" t="s">
        <v>1134</v>
      </c>
      <c r="E48" s="8">
        <v>2.7183316527280644E-3</v>
      </c>
    </row>
    <row r="49" spans="1:5" ht="24.75">
      <c r="A49" s="8" t="s">
        <v>399</v>
      </c>
      <c r="B49" s="8" t="s">
        <v>253</v>
      </c>
      <c r="C49" s="8" t="s">
        <v>351</v>
      </c>
      <c r="D49" s="8" t="s">
        <v>1135</v>
      </c>
      <c r="E49" s="8">
        <v>0.51867274066621538</v>
      </c>
    </row>
    <row r="50" spans="1:5" ht="24.75">
      <c r="A50" s="8" t="s">
        <v>399</v>
      </c>
      <c r="B50" s="8" t="s">
        <v>253</v>
      </c>
      <c r="C50" s="8" t="s">
        <v>351</v>
      </c>
      <c r="D50" s="8" t="s">
        <v>1136</v>
      </c>
      <c r="E50" s="8">
        <v>6.9574096666147802E-3</v>
      </c>
    </row>
    <row r="51" spans="1:5" ht="24.75">
      <c r="A51" s="8" t="s">
        <v>399</v>
      </c>
      <c r="B51" s="8" t="s">
        <v>253</v>
      </c>
      <c r="C51" s="8" t="s">
        <v>351</v>
      </c>
      <c r="D51" s="8" t="s">
        <v>1137</v>
      </c>
      <c r="E51" s="8">
        <v>0.75489189602946505</v>
      </c>
    </row>
    <row r="52" spans="1:5" ht="24.75">
      <c r="A52" s="8" t="s">
        <v>399</v>
      </c>
      <c r="B52" s="8" t="s">
        <v>253</v>
      </c>
      <c r="C52" s="8" t="s">
        <v>351</v>
      </c>
      <c r="D52" s="8" t="s">
        <v>1138</v>
      </c>
      <c r="E52" s="8">
        <v>2.7001467962846312E-3</v>
      </c>
    </row>
    <row r="53" spans="1:5" ht="24.75">
      <c r="A53" s="8" t="s">
        <v>399</v>
      </c>
      <c r="B53" s="8" t="s">
        <v>253</v>
      </c>
      <c r="C53" s="8" t="s">
        <v>351</v>
      </c>
      <c r="D53" s="8" t="s">
        <v>1139</v>
      </c>
      <c r="E53" s="8">
        <v>0.520878803701462</v>
      </c>
    </row>
    <row r="54" spans="1:5" ht="24.75">
      <c r="A54" s="8" t="s">
        <v>399</v>
      </c>
      <c r="B54" s="8" t="s">
        <v>253</v>
      </c>
      <c r="C54" s="8" t="s">
        <v>351</v>
      </c>
      <c r="D54" s="8" t="s">
        <v>1140</v>
      </c>
      <c r="E54" s="8">
        <v>6.3252872453313609E-3</v>
      </c>
    </row>
    <row r="55" spans="1:5" ht="24.75">
      <c r="A55" s="8" t="s">
        <v>399</v>
      </c>
      <c r="B55" s="8" t="s">
        <v>253</v>
      </c>
      <c r="C55" s="8" t="s">
        <v>351</v>
      </c>
      <c r="D55" s="8" t="s">
        <v>1141</v>
      </c>
      <c r="E55" s="8">
        <v>0.75273423848283272</v>
      </c>
    </row>
    <row r="56" spans="1:5" ht="24.75">
      <c r="A56" s="8" t="s">
        <v>399</v>
      </c>
      <c r="B56" s="8" t="s">
        <v>253</v>
      </c>
      <c r="C56" s="8" t="s">
        <v>351</v>
      </c>
      <c r="D56" s="8" t="s">
        <v>1142</v>
      </c>
      <c r="E56" s="8">
        <v>3.2214094233182643E-3</v>
      </c>
    </row>
    <row r="57" spans="1:5" ht="24.75">
      <c r="A57" s="8" t="s">
        <v>399</v>
      </c>
      <c r="B57" s="8" t="s">
        <v>253</v>
      </c>
      <c r="C57" s="8" t="s">
        <v>351</v>
      </c>
      <c r="D57" s="8" t="s">
        <v>1143</v>
      </c>
      <c r="E57" s="8">
        <v>0.51922394769801838</v>
      </c>
    </row>
    <row r="58" spans="1:5" ht="24.75">
      <c r="A58" s="8" t="s">
        <v>399</v>
      </c>
      <c r="B58" s="8" t="s">
        <v>253</v>
      </c>
      <c r="C58" s="8" t="s">
        <v>351</v>
      </c>
      <c r="D58" s="8" t="s">
        <v>1144</v>
      </c>
      <c r="E58" s="8">
        <v>6.9129984919917902E-3</v>
      </c>
    </row>
    <row r="59" spans="1:5" ht="24.75">
      <c r="A59" s="8" t="s">
        <v>399</v>
      </c>
      <c r="B59" s="8" t="s">
        <v>253</v>
      </c>
      <c r="C59" s="8" t="s">
        <v>351</v>
      </c>
      <c r="D59" s="8" t="s">
        <v>1145</v>
      </c>
      <c r="E59" s="8">
        <v>0.51866885529482853</v>
      </c>
    </row>
    <row r="60" spans="1:5" ht="24.75">
      <c r="A60" s="8" t="s">
        <v>399</v>
      </c>
      <c r="B60" s="8" t="s">
        <v>253</v>
      </c>
      <c r="C60" s="8" t="s">
        <v>351</v>
      </c>
      <c r="D60" s="8" t="s">
        <v>1146</v>
      </c>
      <c r="E60" s="8">
        <v>6.9333801968886073E-3</v>
      </c>
    </row>
    <row r="61" spans="1:5" ht="24.75">
      <c r="A61" s="8" t="s">
        <v>399</v>
      </c>
      <c r="B61" s="8" t="s">
        <v>253</v>
      </c>
      <c r="C61" s="8" t="s">
        <v>351</v>
      </c>
      <c r="D61" s="8" t="s">
        <v>1147</v>
      </c>
      <c r="E61" s="8">
        <v>0.74487875414062144</v>
      </c>
    </row>
    <row r="62" spans="1:5" ht="24.75">
      <c r="A62" s="8" t="s">
        <v>399</v>
      </c>
      <c r="B62" s="8" t="s">
        <v>253</v>
      </c>
      <c r="C62" s="8" t="s">
        <v>351</v>
      </c>
      <c r="D62" s="8" t="s">
        <v>1148</v>
      </c>
      <c r="E62" s="8">
        <v>1.6857067458328469E-2</v>
      </c>
    </row>
    <row r="63" spans="1:5" ht="24.75">
      <c r="A63" s="8" t="s">
        <v>399</v>
      </c>
      <c r="B63" s="8" t="s">
        <v>253</v>
      </c>
      <c r="C63" s="8" t="s">
        <v>351</v>
      </c>
      <c r="D63" s="8" t="s">
        <v>1149</v>
      </c>
      <c r="E63" s="8">
        <v>0.3427361957911525</v>
      </c>
    </row>
    <row r="64" spans="1:5" ht="24.75">
      <c r="A64" s="8" t="s">
        <v>399</v>
      </c>
      <c r="B64" s="8" t="s">
        <v>253</v>
      </c>
      <c r="C64" s="8" t="s">
        <v>351</v>
      </c>
      <c r="D64" s="8" t="s">
        <v>1150</v>
      </c>
      <c r="E64" s="8">
        <v>2.1677719348373304E-2</v>
      </c>
    </row>
    <row r="65" spans="1:5" ht="24.75">
      <c r="A65" s="8" t="s">
        <v>399</v>
      </c>
      <c r="B65" s="8" t="s">
        <v>253</v>
      </c>
      <c r="C65" s="8" t="s">
        <v>351</v>
      </c>
      <c r="D65" s="8" t="s">
        <v>1151</v>
      </c>
      <c r="E65" s="8">
        <v>0.1561194159359994</v>
      </c>
    </row>
    <row r="66" spans="1:5" ht="24.75">
      <c r="A66" s="8" t="s">
        <v>399</v>
      </c>
      <c r="B66" s="8" t="s">
        <v>253</v>
      </c>
      <c r="C66" s="8" t="s">
        <v>351</v>
      </c>
      <c r="D66" s="8" t="s">
        <v>1152</v>
      </c>
      <c r="E66" s="8">
        <v>2.2564059240437931E-2</v>
      </c>
    </row>
    <row r="67" spans="1:5" ht="24.75">
      <c r="A67" s="8" t="s">
        <v>399</v>
      </c>
      <c r="B67" s="8" t="s">
        <v>253</v>
      </c>
      <c r="C67" s="8" t="s">
        <v>351</v>
      </c>
      <c r="D67" s="8" t="s">
        <v>1153</v>
      </c>
      <c r="E67" s="8">
        <v>0.50868899500450959</v>
      </c>
    </row>
    <row r="68" spans="1:5" ht="24.75">
      <c r="A68" s="8" t="s">
        <v>399</v>
      </c>
      <c r="B68" s="8" t="s">
        <v>253</v>
      </c>
      <c r="C68" s="8" t="s">
        <v>351</v>
      </c>
      <c r="D68" s="8" t="s">
        <v>1154</v>
      </c>
      <c r="E68" s="8">
        <v>1.2307431928373243</v>
      </c>
    </row>
    <row r="69" spans="1:5" ht="24.75">
      <c r="A69" s="8" t="s">
        <v>399</v>
      </c>
      <c r="B69" s="8" t="s">
        <v>253</v>
      </c>
      <c r="C69" s="8" t="s">
        <v>351</v>
      </c>
      <c r="D69" s="8" t="s">
        <v>1155</v>
      </c>
      <c r="E69" s="8">
        <v>0.10359300466590374</v>
      </c>
    </row>
    <row r="70" spans="1:5" ht="24.75">
      <c r="A70" s="8" t="s">
        <v>399</v>
      </c>
      <c r="B70" s="8" t="s">
        <v>253</v>
      </c>
      <c r="C70" s="8" t="s">
        <v>351</v>
      </c>
      <c r="D70" s="8" t="s">
        <v>1156</v>
      </c>
      <c r="E70" s="8">
        <v>0.91778600933180454</v>
      </c>
    </row>
    <row r="71" spans="1:5" ht="24.75">
      <c r="A71" s="8" t="s">
        <v>399</v>
      </c>
      <c r="B71" s="8" t="s">
        <v>253</v>
      </c>
      <c r="C71" s="8" t="s">
        <v>351</v>
      </c>
      <c r="D71" s="8" t="s">
        <v>1157</v>
      </c>
      <c r="E71" s="8">
        <v>4.4124105893519161</v>
      </c>
    </row>
    <row r="72" spans="1:5" ht="24.75">
      <c r="A72" s="8" t="s">
        <v>399</v>
      </c>
      <c r="B72" s="8" t="s">
        <v>253</v>
      </c>
      <c r="C72" s="8" t="s">
        <v>351</v>
      </c>
      <c r="D72" s="8" t="s">
        <v>1158</v>
      </c>
      <c r="E72" s="8">
        <v>0.10172995515172242</v>
      </c>
    </row>
    <row r="73" spans="1:5" ht="24.75">
      <c r="A73" s="8" t="s">
        <v>399</v>
      </c>
      <c r="B73" s="8" t="s">
        <v>253</v>
      </c>
      <c r="C73" s="8" t="s">
        <v>351</v>
      </c>
      <c r="D73" s="8" t="s">
        <v>1159</v>
      </c>
      <c r="E73" s="8">
        <v>0.91949555167526587</v>
      </c>
    </row>
    <row r="74" spans="1:5" ht="24.75">
      <c r="A74" s="8" t="s">
        <v>399</v>
      </c>
      <c r="B74" s="8" t="s">
        <v>253</v>
      </c>
      <c r="C74" s="8" t="s">
        <v>351</v>
      </c>
      <c r="D74" s="8" t="s">
        <v>1160</v>
      </c>
      <c r="E74" s="8">
        <v>4.4124105893519161</v>
      </c>
    </row>
    <row r="75" spans="1:5" ht="24.75">
      <c r="A75" s="8" t="s">
        <v>399</v>
      </c>
      <c r="B75" s="8" t="s">
        <v>253</v>
      </c>
      <c r="C75" s="8" t="s">
        <v>351</v>
      </c>
      <c r="D75" s="8" t="s">
        <v>1161</v>
      </c>
      <c r="E75" s="8">
        <v>0.10329851821073571</v>
      </c>
    </row>
    <row r="76" spans="1:5" ht="24.75">
      <c r="A76" s="8" t="s">
        <v>399</v>
      </c>
      <c r="B76" s="8" t="s">
        <v>253</v>
      </c>
      <c r="C76" s="8" t="s">
        <v>351</v>
      </c>
      <c r="D76" s="8" t="s">
        <v>1162</v>
      </c>
      <c r="E76" s="8">
        <v>0.91778600933180454</v>
      </c>
    </row>
    <row r="77" spans="1:5" ht="24.75">
      <c r="A77" s="8" t="s">
        <v>399</v>
      </c>
      <c r="B77" s="8" t="s">
        <v>253</v>
      </c>
      <c r="C77" s="8" t="s">
        <v>351</v>
      </c>
      <c r="D77" s="8" t="s">
        <v>1163</v>
      </c>
      <c r="E77" s="8">
        <v>4.4124105893519161</v>
      </c>
    </row>
    <row r="78" spans="1:5" ht="24.75">
      <c r="A78" s="8" t="s">
        <v>399</v>
      </c>
      <c r="B78" s="8" t="s">
        <v>253</v>
      </c>
      <c r="C78" s="8" t="s">
        <v>351</v>
      </c>
      <c r="D78" s="8" t="s">
        <v>1164</v>
      </c>
      <c r="E78" s="8">
        <v>0.10359300466590374</v>
      </c>
    </row>
    <row r="79" spans="1:5" ht="24.75">
      <c r="A79" s="8" t="s">
        <v>399</v>
      </c>
      <c r="B79" s="8" t="s">
        <v>253</v>
      </c>
      <c r="C79" s="8" t="s">
        <v>351</v>
      </c>
      <c r="D79" s="8" t="s">
        <v>1165</v>
      </c>
      <c r="E79" s="8">
        <v>0.91778600933180454</v>
      </c>
    </row>
    <row r="80" spans="1:5" ht="24.75">
      <c r="A80" s="8" t="s">
        <v>399</v>
      </c>
      <c r="B80" s="8" t="s">
        <v>253</v>
      </c>
      <c r="C80" s="8" t="s">
        <v>351</v>
      </c>
      <c r="D80" s="8" t="s">
        <v>1166</v>
      </c>
      <c r="E80" s="8">
        <v>4.4124105893519161</v>
      </c>
    </row>
    <row r="81" spans="1:5" ht="24.75">
      <c r="A81" s="8" t="s">
        <v>399</v>
      </c>
      <c r="B81" s="8" t="s">
        <v>253</v>
      </c>
      <c r="C81" s="8" t="s">
        <v>351</v>
      </c>
      <c r="D81" s="8" t="s">
        <v>1167</v>
      </c>
      <c r="E81" s="8">
        <v>9.9843004665903803E-2</v>
      </c>
    </row>
    <row r="82" spans="1:5" ht="24.75">
      <c r="A82" s="8" t="s">
        <v>399</v>
      </c>
      <c r="B82" s="8" t="s">
        <v>253</v>
      </c>
      <c r="C82" s="8" t="s">
        <v>351</v>
      </c>
      <c r="D82" s="8" t="s">
        <v>1168</v>
      </c>
      <c r="E82" s="8">
        <v>0.90703550835705693</v>
      </c>
    </row>
    <row r="83" spans="1:5" ht="24.75">
      <c r="A83" s="8" t="s">
        <v>399</v>
      </c>
      <c r="B83" s="8" t="s">
        <v>253</v>
      </c>
      <c r="C83" s="8" t="s">
        <v>351</v>
      </c>
      <c r="D83" s="8" t="s">
        <v>1169</v>
      </c>
      <c r="E83" s="8">
        <v>4.4124491137756516</v>
      </c>
    </row>
    <row r="84" spans="1:5" ht="24.75">
      <c r="A84" s="8" t="s">
        <v>399</v>
      </c>
      <c r="B84" s="8" t="s">
        <v>253</v>
      </c>
      <c r="C84" s="8" t="s">
        <v>351</v>
      </c>
      <c r="D84" s="8" t="s">
        <v>1170</v>
      </c>
      <c r="E84" s="8">
        <v>0.10661782193309569</v>
      </c>
    </row>
    <row r="85" spans="1:5" ht="24.75">
      <c r="A85" s="8" t="s">
        <v>399</v>
      </c>
      <c r="B85" s="8" t="s">
        <v>253</v>
      </c>
      <c r="C85" s="8" t="s">
        <v>351</v>
      </c>
      <c r="D85" s="8" t="s">
        <v>1171</v>
      </c>
      <c r="E85" s="8">
        <v>0.92215943173716353</v>
      </c>
    </row>
    <row r="86" spans="1:5" ht="24.75">
      <c r="A86" s="8" t="s">
        <v>399</v>
      </c>
      <c r="B86" s="8" t="s">
        <v>253</v>
      </c>
      <c r="C86" s="8" t="s">
        <v>351</v>
      </c>
      <c r="D86" s="8" t="s">
        <v>1172</v>
      </c>
      <c r="E86" s="8">
        <v>4.4123846104997977</v>
      </c>
    </row>
    <row r="87" spans="1:5" ht="24.75">
      <c r="A87" s="8" t="s">
        <v>399</v>
      </c>
      <c r="B87" s="8" t="s">
        <v>253</v>
      </c>
      <c r="C87" s="8" t="s">
        <v>351</v>
      </c>
      <c r="D87" s="8" t="s">
        <v>1173</v>
      </c>
      <c r="E87" s="8">
        <v>6.9593682185589936E-2</v>
      </c>
    </row>
    <row r="88" spans="1:5" ht="24.75">
      <c r="A88" s="8" t="s">
        <v>399</v>
      </c>
      <c r="B88" s="8" t="s">
        <v>253</v>
      </c>
      <c r="C88" s="8" t="s">
        <v>351</v>
      </c>
      <c r="D88" s="8" t="s">
        <v>1174</v>
      </c>
      <c r="E88" s="8">
        <v>0.27163776160273601</v>
      </c>
    </row>
    <row r="89" spans="1:5" ht="24.75">
      <c r="A89" s="8" t="s">
        <v>399</v>
      </c>
      <c r="B89" s="8" t="s">
        <v>253</v>
      </c>
      <c r="C89" s="8" t="s">
        <v>351</v>
      </c>
      <c r="D89" s="8" t="s">
        <v>1175</v>
      </c>
      <c r="E89" s="8">
        <v>0.51767373817109807</v>
      </c>
    </row>
    <row r="90" spans="1:5" ht="24.75">
      <c r="A90" s="8" t="s">
        <v>399</v>
      </c>
      <c r="B90" s="8" t="s">
        <v>253</v>
      </c>
      <c r="C90" s="8" t="s">
        <v>351</v>
      </c>
      <c r="D90" s="8" t="s">
        <v>1176</v>
      </c>
      <c r="E90" s="8">
        <v>4.4782755707733051</v>
      </c>
    </row>
    <row r="91" spans="1:5" ht="24.75">
      <c r="A91" s="8" t="s">
        <v>399</v>
      </c>
      <c r="B91" s="8" t="s">
        <v>253</v>
      </c>
      <c r="C91" s="8" t="s">
        <v>351</v>
      </c>
      <c r="D91" s="8" t="s">
        <v>1177</v>
      </c>
      <c r="E91" s="8">
        <v>0.95213790487743144</v>
      </c>
    </row>
    <row r="92" spans="1:5" ht="24.75">
      <c r="A92" s="8" t="s">
        <v>399</v>
      </c>
      <c r="B92" s="8" t="s">
        <v>253</v>
      </c>
      <c r="C92" s="8" t="s">
        <v>351</v>
      </c>
      <c r="D92" s="8" t="s">
        <v>1178</v>
      </c>
      <c r="E92" s="8">
        <v>0.13599624554702208</v>
      </c>
    </row>
    <row r="93" spans="1:5" ht="24.75">
      <c r="A93" s="8" t="s">
        <v>399</v>
      </c>
      <c r="B93" s="8" t="s">
        <v>253</v>
      </c>
      <c r="C93" s="8" t="s">
        <v>351</v>
      </c>
      <c r="D93" s="8" t="s">
        <v>1179</v>
      </c>
      <c r="E93" s="8">
        <v>4.3492530405206811</v>
      </c>
    </row>
    <row r="94" spans="1:5" ht="24.75">
      <c r="A94" s="8" t="s">
        <v>399</v>
      </c>
      <c r="B94" s="8" t="s">
        <v>253</v>
      </c>
      <c r="C94" s="8" t="s">
        <v>351</v>
      </c>
      <c r="D94" s="8" t="s">
        <v>1180</v>
      </c>
      <c r="E94" s="8">
        <v>0.95213789790052339</v>
      </c>
    </row>
    <row r="95" spans="1:5" ht="24.75">
      <c r="A95" s="8" t="s">
        <v>399</v>
      </c>
      <c r="B95" s="8" t="s">
        <v>253</v>
      </c>
      <c r="C95" s="8" t="s">
        <v>351</v>
      </c>
      <c r="D95" s="8" t="s">
        <v>1181</v>
      </c>
      <c r="E95" s="8">
        <v>0.13599477724834358</v>
      </c>
    </row>
    <row r="96" spans="1:5" ht="24.75">
      <c r="A96" s="8" t="s">
        <v>399</v>
      </c>
      <c r="B96" s="8" t="s">
        <v>253</v>
      </c>
      <c r="C96" s="8" t="s">
        <v>351</v>
      </c>
      <c r="D96" s="8" t="s">
        <v>1182</v>
      </c>
      <c r="E96" s="8">
        <v>4.3492530404434691</v>
      </c>
    </row>
    <row r="97" spans="1:5" ht="24.75">
      <c r="A97" s="8" t="s">
        <v>399</v>
      </c>
      <c r="B97" s="8" t="s">
        <v>253</v>
      </c>
      <c r="C97" s="8" t="s">
        <v>351</v>
      </c>
      <c r="D97" s="8" t="s">
        <v>1183</v>
      </c>
      <c r="E97" s="8">
        <v>1.437854386756193</v>
      </c>
    </row>
    <row r="98" spans="1:5" ht="24.75">
      <c r="A98" s="8" t="s">
        <v>399</v>
      </c>
      <c r="B98" s="8" t="s">
        <v>253</v>
      </c>
      <c r="C98" s="8" t="s">
        <v>351</v>
      </c>
      <c r="D98" s="8" t="s">
        <v>1184</v>
      </c>
      <c r="E98" s="8">
        <v>0.13083873695909989</v>
      </c>
    </row>
    <row r="99" spans="1:5" ht="24.75">
      <c r="A99" s="8" t="s">
        <v>399</v>
      </c>
      <c r="B99" s="8" t="s">
        <v>253</v>
      </c>
      <c r="C99" s="8" t="s">
        <v>351</v>
      </c>
      <c r="D99" s="8" t="s">
        <v>1185</v>
      </c>
      <c r="E99" s="8">
        <v>0.32245586834713602</v>
      </c>
    </row>
    <row r="100" spans="1:5" ht="24.75">
      <c r="A100" s="8" t="s">
        <v>399</v>
      </c>
      <c r="B100" s="8" t="s">
        <v>253</v>
      </c>
      <c r="C100" s="8" t="s">
        <v>351</v>
      </c>
      <c r="D100" s="8" t="s">
        <v>1186</v>
      </c>
      <c r="E100" s="8">
        <v>4.9715674193687089</v>
      </c>
    </row>
    <row r="101" spans="1:5" ht="24.75">
      <c r="A101" s="8" t="s">
        <v>399</v>
      </c>
      <c r="B101" s="8" t="s">
        <v>253</v>
      </c>
      <c r="C101" s="8" t="s">
        <v>351</v>
      </c>
      <c r="D101" s="8" t="s">
        <v>1187</v>
      </c>
      <c r="E101" s="8">
        <v>8.2188113934649351E-2</v>
      </c>
    </row>
    <row r="102" spans="1:5" ht="24.75">
      <c r="A102" s="8" t="s">
        <v>399</v>
      </c>
      <c r="B102" s="8" t="s">
        <v>253</v>
      </c>
      <c r="C102" s="8" t="s">
        <v>351</v>
      </c>
      <c r="D102" s="8" t="s">
        <v>1188</v>
      </c>
      <c r="E102" s="8">
        <v>9.7968097895577033E-2</v>
      </c>
    </row>
    <row r="103" spans="1:5" ht="24.75">
      <c r="A103" s="8" t="s">
        <v>399</v>
      </c>
      <c r="B103" s="8" t="s">
        <v>253</v>
      </c>
      <c r="C103" s="8" t="s">
        <v>351</v>
      </c>
      <c r="D103" s="8" t="s">
        <v>1189</v>
      </c>
      <c r="E103" s="8">
        <v>0.72259999999999169</v>
      </c>
    </row>
    <row r="104" spans="1:5" ht="24.75">
      <c r="A104" s="8" t="s">
        <v>399</v>
      </c>
      <c r="B104" s="8" t="s">
        <v>253</v>
      </c>
      <c r="C104" s="8" t="s">
        <v>351</v>
      </c>
      <c r="D104" s="8" t="s">
        <v>1190</v>
      </c>
      <c r="E104" s="8">
        <v>0.76031024710881423</v>
      </c>
    </row>
    <row r="105" spans="1:5" ht="24.75">
      <c r="A105" s="8" t="s">
        <v>399</v>
      </c>
      <c r="B105" s="8" t="s">
        <v>253</v>
      </c>
      <c r="C105" s="8" t="s">
        <v>351</v>
      </c>
      <c r="D105" s="8" t="s">
        <v>1191</v>
      </c>
      <c r="E105" s="8">
        <v>5.0168611326353831</v>
      </c>
    </row>
    <row r="106" spans="1:5" ht="24.75">
      <c r="A106" s="8" t="s">
        <v>399</v>
      </c>
      <c r="B106" s="8" t="s">
        <v>253</v>
      </c>
      <c r="C106" s="8" t="s">
        <v>351</v>
      </c>
      <c r="D106" s="8" t="s">
        <v>1192</v>
      </c>
      <c r="E106" s="8">
        <v>0.7460940377101779</v>
      </c>
    </row>
    <row r="107" spans="1:5" ht="24.75">
      <c r="A107" s="8" t="s">
        <v>399</v>
      </c>
      <c r="B107" s="8" t="s">
        <v>253</v>
      </c>
      <c r="C107" s="8" t="s">
        <v>351</v>
      </c>
      <c r="D107" s="8" t="s">
        <v>1193</v>
      </c>
      <c r="E107" s="8">
        <v>1.5010785223376391E-2</v>
      </c>
    </row>
    <row r="108" spans="1:5" ht="24.75">
      <c r="A108" s="8" t="s">
        <v>399</v>
      </c>
      <c r="B108" s="8" t="s">
        <v>253</v>
      </c>
      <c r="C108" s="8" t="s">
        <v>351</v>
      </c>
      <c r="D108" s="8" t="s">
        <v>1194</v>
      </c>
      <c r="E108" s="8">
        <v>0.46744379137176678</v>
      </c>
    </row>
    <row r="109" spans="1:5" ht="24.75">
      <c r="A109" s="8" t="s">
        <v>399</v>
      </c>
      <c r="B109" s="8" t="s">
        <v>253</v>
      </c>
      <c r="C109" s="8" t="s">
        <v>351</v>
      </c>
      <c r="D109" s="8" t="s">
        <v>1195</v>
      </c>
      <c r="E109" s="8">
        <v>7.9619266536251052E-2</v>
      </c>
    </row>
    <row r="110" spans="1:5" ht="24.75">
      <c r="A110" s="8" t="s">
        <v>399</v>
      </c>
      <c r="B110" s="8" t="s">
        <v>253</v>
      </c>
      <c r="C110" s="8" t="s">
        <v>351</v>
      </c>
      <c r="D110" s="8" t="s">
        <v>1196</v>
      </c>
      <c r="E110" s="8">
        <v>0.7546491132476647</v>
      </c>
    </row>
    <row r="111" spans="1:5" ht="24.75">
      <c r="A111" s="8" t="s">
        <v>399</v>
      </c>
      <c r="B111" s="8" t="s">
        <v>253</v>
      </c>
      <c r="C111" s="8" t="s">
        <v>351</v>
      </c>
      <c r="D111" s="8" t="s">
        <v>1197</v>
      </c>
      <c r="E111" s="8">
        <v>2.7315492574572476E-3</v>
      </c>
    </row>
    <row r="112" spans="1:5" ht="24.75">
      <c r="A112" s="8" t="s">
        <v>399</v>
      </c>
      <c r="B112" s="8" t="s">
        <v>253</v>
      </c>
      <c r="C112" s="8" t="s">
        <v>351</v>
      </c>
      <c r="D112" s="8" t="s">
        <v>1198</v>
      </c>
      <c r="E112" s="8">
        <v>0.51882711083551958</v>
      </c>
    </row>
    <row r="113" spans="1:5" ht="24.75">
      <c r="A113" s="8" t="s">
        <v>399</v>
      </c>
      <c r="B113" s="8" t="s">
        <v>253</v>
      </c>
      <c r="C113" s="8" t="s">
        <v>351</v>
      </c>
      <c r="D113" s="8" t="s">
        <v>1199</v>
      </c>
      <c r="E113" s="8">
        <v>6.9441177451462048E-3</v>
      </c>
    </row>
    <row r="114" spans="1:5" ht="24.75">
      <c r="A114" s="8" t="s">
        <v>399</v>
      </c>
      <c r="B114" s="8" t="s">
        <v>253</v>
      </c>
      <c r="C114" s="8" t="s">
        <v>351</v>
      </c>
      <c r="D114" s="8" t="s">
        <v>1200</v>
      </c>
      <c r="E114" s="8">
        <v>0.75457378498764094</v>
      </c>
    </row>
    <row r="115" spans="1:5" ht="24.75">
      <c r="A115" s="8" t="s">
        <v>399</v>
      </c>
      <c r="B115" s="8" t="s">
        <v>253</v>
      </c>
      <c r="C115" s="8" t="s">
        <v>351</v>
      </c>
      <c r="D115" s="8" t="s">
        <v>1201</v>
      </c>
      <c r="E115" s="8">
        <v>2.7278023764276921E-3</v>
      </c>
    </row>
    <row r="116" spans="1:5" ht="24.75">
      <c r="A116" s="8" t="s">
        <v>399</v>
      </c>
      <c r="B116" s="8" t="s">
        <v>253</v>
      </c>
      <c r="C116" s="8" t="s">
        <v>351</v>
      </c>
      <c r="D116" s="8" t="s">
        <v>1202</v>
      </c>
      <c r="E116" s="8">
        <v>0.10133313114348907</v>
      </c>
    </row>
    <row r="117" spans="1:5" ht="24.75">
      <c r="A117" s="8" t="s">
        <v>399</v>
      </c>
      <c r="B117" s="8" t="s">
        <v>253</v>
      </c>
      <c r="C117" s="8" t="s">
        <v>351</v>
      </c>
      <c r="D117" s="8" t="s">
        <v>1203</v>
      </c>
      <c r="E117" s="8">
        <v>0.91778600933180454</v>
      </c>
    </row>
    <row r="118" spans="1:5" ht="24.75">
      <c r="A118" s="8" t="s">
        <v>399</v>
      </c>
      <c r="B118" s="8" t="s">
        <v>253</v>
      </c>
      <c r="C118" s="8" t="s">
        <v>351</v>
      </c>
      <c r="D118" s="8" t="s">
        <v>1204</v>
      </c>
      <c r="E118" s="8">
        <v>4.4379105893519162</v>
      </c>
    </row>
    <row r="119" spans="1:5" ht="24.75">
      <c r="A119" s="8" t="s">
        <v>399</v>
      </c>
      <c r="B119" s="8" t="s">
        <v>253</v>
      </c>
      <c r="C119" s="8" t="s">
        <v>351</v>
      </c>
      <c r="D119" s="8" t="s">
        <v>1205</v>
      </c>
      <c r="E119" s="8">
        <v>0.10329851821073571</v>
      </c>
    </row>
    <row r="120" spans="1:5" ht="24.75">
      <c r="A120" s="8" t="s">
        <v>399</v>
      </c>
      <c r="B120" s="8" t="s">
        <v>253</v>
      </c>
      <c r="C120" s="8" t="s">
        <v>351</v>
      </c>
      <c r="D120" s="8" t="s">
        <v>1206</v>
      </c>
      <c r="E120" s="8">
        <v>0.91778600933180454</v>
      </c>
    </row>
    <row r="121" spans="1:5" ht="24.75">
      <c r="A121" s="8" t="s">
        <v>399</v>
      </c>
      <c r="B121" s="8" t="s">
        <v>253</v>
      </c>
      <c r="C121" s="8" t="s">
        <v>351</v>
      </c>
      <c r="D121" s="8" t="s">
        <v>1207</v>
      </c>
      <c r="E121" s="8">
        <v>4.4379105893519162</v>
      </c>
    </row>
    <row r="122" spans="1:5" ht="24.75">
      <c r="A122" s="8" t="s">
        <v>399</v>
      </c>
      <c r="B122" s="8" t="s">
        <v>253</v>
      </c>
      <c r="C122" s="8" t="s">
        <v>351</v>
      </c>
      <c r="D122" s="8" t="s">
        <v>1208</v>
      </c>
      <c r="E122" s="8">
        <v>1.5098583047177752</v>
      </c>
    </row>
    <row r="123" spans="1:5" ht="24.75">
      <c r="A123" s="8" t="s">
        <v>399</v>
      </c>
      <c r="B123" s="8" t="s">
        <v>253</v>
      </c>
      <c r="C123" s="8" t="s">
        <v>351</v>
      </c>
      <c r="D123" s="8" t="s">
        <v>1209</v>
      </c>
      <c r="E123" s="8">
        <v>3.6223332178479239E-3</v>
      </c>
    </row>
    <row r="124" spans="1:5" ht="24.75">
      <c r="A124" s="8" t="s">
        <v>399</v>
      </c>
      <c r="B124" s="8" t="s">
        <v>253</v>
      </c>
      <c r="C124" s="8" t="s">
        <v>351</v>
      </c>
      <c r="D124" s="8" t="s">
        <v>1210</v>
      </c>
      <c r="E124" s="8">
        <v>4.1646676118908275</v>
      </c>
    </row>
    <row r="125" spans="1:5" ht="24.75">
      <c r="A125" s="8" t="s">
        <v>399</v>
      </c>
      <c r="B125" s="8" t="s">
        <v>253</v>
      </c>
      <c r="C125" s="8" t="s">
        <v>351</v>
      </c>
      <c r="D125" s="8" t="s">
        <v>1211</v>
      </c>
      <c r="E125" s="8">
        <v>1.2066287872486157</v>
      </c>
    </row>
    <row r="126" spans="1:5" ht="24.75">
      <c r="A126" s="8" t="s">
        <v>399</v>
      </c>
      <c r="B126" s="8" t="s">
        <v>253</v>
      </c>
      <c r="C126" s="8" t="s">
        <v>351</v>
      </c>
      <c r="D126" s="8" t="s">
        <v>1212</v>
      </c>
      <c r="E126" s="8">
        <v>9.4369142631032712E-3</v>
      </c>
    </row>
    <row r="127" spans="1:5" ht="24.75">
      <c r="A127" s="8" t="s">
        <v>399</v>
      </c>
      <c r="B127" s="8" t="s">
        <v>253</v>
      </c>
      <c r="C127" s="8" t="s">
        <v>351</v>
      </c>
      <c r="D127" s="8" t="s">
        <v>1213</v>
      </c>
      <c r="E127" s="8">
        <v>1.2015749088666976</v>
      </c>
    </row>
    <row r="128" spans="1:5" ht="24.75">
      <c r="A128" s="8" t="s">
        <v>399</v>
      </c>
      <c r="B128" s="8" t="s">
        <v>253</v>
      </c>
      <c r="C128" s="8" t="s">
        <v>351</v>
      </c>
      <c r="D128" s="8" t="s">
        <v>1214</v>
      </c>
      <c r="E128" s="8">
        <v>3.5890173973733563E-3</v>
      </c>
    </row>
    <row r="129" spans="1:5" ht="24.75">
      <c r="A129" s="8" t="s">
        <v>399</v>
      </c>
      <c r="B129" s="8" t="s">
        <v>253</v>
      </c>
      <c r="C129" s="8" t="s">
        <v>351</v>
      </c>
      <c r="D129" s="8" t="s">
        <v>1215</v>
      </c>
      <c r="E129" s="8">
        <v>1.0164432188569554</v>
      </c>
    </row>
    <row r="130" spans="1:5" ht="24.75">
      <c r="A130" s="8" t="s">
        <v>399</v>
      </c>
      <c r="B130" s="8" t="s">
        <v>253</v>
      </c>
      <c r="C130" s="8" t="s">
        <v>351</v>
      </c>
      <c r="D130" s="8" t="s">
        <v>1216</v>
      </c>
      <c r="E130" s="8">
        <v>1.1840354721525153</v>
      </c>
    </row>
    <row r="131" spans="1:5" ht="24.75">
      <c r="A131" s="8" t="s">
        <v>399</v>
      </c>
      <c r="B131" s="8" t="s">
        <v>253</v>
      </c>
      <c r="C131" s="8" t="s">
        <v>351</v>
      </c>
      <c r="D131" s="8" t="s">
        <v>1217</v>
      </c>
      <c r="E131" s="8">
        <v>0.31976820621324831</v>
      </c>
    </row>
    <row r="132" spans="1:5" ht="24.75">
      <c r="A132" s="8" t="s">
        <v>399</v>
      </c>
      <c r="B132" s="8" t="s">
        <v>253</v>
      </c>
      <c r="C132" s="8" t="s">
        <v>351</v>
      </c>
      <c r="D132" s="8" t="s">
        <v>1218</v>
      </c>
      <c r="E132" s="8">
        <v>9.114356933571658E-3</v>
      </c>
    </row>
    <row r="133" spans="1:5" ht="24.75">
      <c r="A133" s="8" t="s">
        <v>399</v>
      </c>
      <c r="B133" s="8" t="s">
        <v>253</v>
      </c>
      <c r="C133" s="8" t="s">
        <v>351</v>
      </c>
      <c r="D133" s="8" t="s">
        <v>1219</v>
      </c>
      <c r="E133" s="8">
        <v>0.92670685015487753</v>
      </c>
    </row>
    <row r="134" spans="1:5" ht="24.75">
      <c r="A134" s="8" t="s">
        <v>399</v>
      </c>
      <c r="B134" s="8" t="s">
        <v>253</v>
      </c>
      <c r="C134" s="8" t="s">
        <v>351</v>
      </c>
      <c r="D134" s="8" t="s">
        <v>1220</v>
      </c>
      <c r="E134" s="8">
        <v>1.8629852845255779</v>
      </c>
    </row>
    <row r="135" spans="1:5" ht="24.75">
      <c r="A135" s="8" t="s">
        <v>399</v>
      </c>
      <c r="B135" s="8" t="s">
        <v>253</v>
      </c>
      <c r="C135" s="8" t="s">
        <v>351</v>
      </c>
      <c r="D135" s="8" t="s">
        <v>1221</v>
      </c>
      <c r="E135" s="8">
        <v>1.0401175233229862</v>
      </c>
    </row>
    <row r="136" spans="1:5" ht="24.75">
      <c r="A136" s="8" t="s">
        <v>399</v>
      </c>
      <c r="B136" s="8" t="s">
        <v>253</v>
      </c>
      <c r="C136" s="8" t="s">
        <v>351</v>
      </c>
      <c r="D136" s="8" t="s">
        <v>1222</v>
      </c>
      <c r="E136" s="8">
        <v>3.0518945642223789</v>
      </c>
    </row>
    <row r="137" spans="1:5" ht="24.75">
      <c r="A137" s="8" t="s">
        <v>399</v>
      </c>
      <c r="B137" s="8" t="s">
        <v>253</v>
      </c>
      <c r="C137" s="8" t="s">
        <v>351</v>
      </c>
      <c r="D137" s="8" t="s">
        <v>1223</v>
      </c>
      <c r="E137" s="8">
        <v>1.4242244269831072E-2</v>
      </c>
    </row>
    <row r="138" spans="1:5" ht="24.75">
      <c r="A138" s="8" t="s">
        <v>399</v>
      </c>
      <c r="B138" s="8" t="s">
        <v>253</v>
      </c>
      <c r="C138" s="8" t="s">
        <v>351</v>
      </c>
      <c r="D138" s="8" t="s">
        <v>1224</v>
      </c>
      <c r="E138" s="8">
        <v>2.36797857145713</v>
      </c>
    </row>
    <row r="139" spans="1:5" ht="24.75">
      <c r="A139" s="8" t="s">
        <v>399</v>
      </c>
      <c r="B139" s="8" t="s">
        <v>253</v>
      </c>
      <c r="C139" s="8" t="s">
        <v>351</v>
      </c>
      <c r="D139" s="8" t="s">
        <v>1225</v>
      </c>
      <c r="E139" s="8">
        <v>3.075990588041583</v>
      </c>
    </row>
    <row r="140" spans="1:5" ht="24.75">
      <c r="A140" s="8" t="s">
        <v>399</v>
      </c>
      <c r="B140" s="8" t="s">
        <v>253</v>
      </c>
      <c r="C140" s="8" t="s">
        <v>351</v>
      </c>
      <c r="D140" s="8" t="s">
        <v>1226</v>
      </c>
      <c r="E140" s="8">
        <v>0.84911791886993904</v>
      </c>
    </row>
    <row r="141" spans="1:5">
      <c r="A141" s="1" t="s">
        <v>246</v>
      </c>
      <c r="B141" s="1" t="s">
        <v>246</v>
      </c>
      <c r="C141" s="1">
        <f>SUBTOTAL(103,Elements13_3_311[Elemento])</f>
        <v>134</v>
      </c>
      <c r="D141" s="1" t="s">
        <v>246</v>
      </c>
      <c r="E141" s="1">
        <f>SUBTOTAL(109,Elements13_3_311[Totais:])</f>
        <v>148.6178743635181</v>
      </c>
    </row>
  </sheetData>
  <mergeCells count="3">
    <mergeCell ref="A1:E2"/>
    <mergeCell ref="A4:E4"/>
    <mergeCell ref="A5:E5"/>
  </mergeCells>
  <hyperlinks>
    <hyperlink ref="A1" location="'13.3.31'!A1" display="TUBO PVC, SERIE NORMAL, ESGOTO PREDIAL, DN 50 MM, FORNECIDO E INSTALADO EM PRUMADA DE ESGOTO SANITÁRIO OU VENTILAÇÃO. AF_08/2022" xr:uid="{00000000-0004-0000-5F00-000000000000}"/>
    <hyperlink ref="B1" location="'13.3.31'!A1" display="TUBO PVC, SERIE NORMAL, ESGOTO PREDIAL, DN 50 MM, FORNECIDO E INSTALADO EM PRUMADA DE ESGOTO SANITÁRIO OU VENTILAÇÃO. AF_08/2022" xr:uid="{00000000-0004-0000-5F00-000001000000}"/>
    <hyperlink ref="C1" location="'13.3.31'!A1" display="TUBO PVC, SERIE NORMAL, ESGOTO PREDIAL, DN 50 MM, FORNECIDO E INSTALADO EM PRUMADA DE ESGOTO SANITÁRIO OU VENTILAÇÃO. AF_08/2022" xr:uid="{00000000-0004-0000-5F00-000002000000}"/>
    <hyperlink ref="D1" location="'13.3.31'!A1" display="TUBO PVC, SERIE NORMAL, ESGOTO PREDIAL, DN 50 MM, FORNECIDO E INSTALADO EM PRUMADA DE ESGOTO SANITÁRIO OU VENTILAÇÃO. AF_08/2022" xr:uid="{00000000-0004-0000-5F00-000003000000}"/>
    <hyperlink ref="E1" location="'13.3.31'!A1" display="TUBO PVC, SERIE NORMAL, ESGOTO PREDIAL, DN 50 MM, FORNECIDO E INSTALADO EM PRUMADA DE ESGOTO SANITÁRIO OU VENTILAÇÃO. AF_08/2022" xr:uid="{00000000-0004-0000-5F00-000004000000}"/>
    <hyperlink ref="A2" location="'13.3.31'!A1" display="TUBO PVC, SERIE NORMAL, ESGOTO PREDIAL, DN 50 MM, FORNECIDO E INSTALADO EM PRUMADA DE ESGOTO SANITÁRIO OU VENTILAÇÃO. AF_08/2022" xr:uid="{00000000-0004-0000-5F00-000005000000}"/>
    <hyperlink ref="B2" location="'13.3.31'!A1" display="TUBO PVC, SERIE NORMAL, ESGOTO PREDIAL, DN 50 MM, FORNECIDO E INSTALADO EM PRUMADA DE ESGOTO SANITÁRIO OU VENTILAÇÃO. AF_08/2022" xr:uid="{00000000-0004-0000-5F00-000006000000}"/>
    <hyperlink ref="C2" location="'13.3.31'!A1" display="TUBO PVC, SERIE NORMAL, ESGOTO PREDIAL, DN 50 MM, FORNECIDO E INSTALADO EM PRUMADA DE ESGOTO SANITÁRIO OU VENTILAÇÃO. AF_08/2022" xr:uid="{00000000-0004-0000-5F00-000007000000}"/>
    <hyperlink ref="D2" location="'13.3.31'!A1" display="TUBO PVC, SERIE NORMAL, ESGOTO PREDIAL, DN 50 MM, FORNECIDO E INSTALADO EM PRUMADA DE ESGOTO SANITÁRIO OU VENTILAÇÃO. AF_08/2022" xr:uid="{00000000-0004-0000-5F00-000008000000}"/>
    <hyperlink ref="E2" location="'13.3.31'!A1" display="TUBO PVC, SERIE NORMAL, ESGOTO PREDIAL, DN 50 MM, FORNECIDO E INSTALADO EM PRUMADA DE ESGOTO SANITÁRIO OU VENTILAÇÃO. AF_08/2022" xr:uid="{00000000-0004-0000-5F00-000009000000}"/>
    <hyperlink ref="A4" location="'13.3.31'!A1" display="Tubulação (Comprimento)" xr:uid="{00000000-0004-0000-5F00-00000A000000}"/>
    <hyperlink ref="B4" location="'13.3.31'!A1" display="Tubulação (Comprimento)" xr:uid="{00000000-0004-0000-5F00-00000B000000}"/>
    <hyperlink ref="C4" location="'13.3.31'!A1" display="Tubulação (Comprimento)" xr:uid="{00000000-0004-0000-5F00-00000C000000}"/>
    <hyperlink ref="D4" location="'13.3.31'!A1" display="Tubulação (Comprimento)" xr:uid="{00000000-0004-0000-5F00-00000D000000}"/>
    <hyperlink ref="E4" location="'13.3.31'!A1" display="Tubulação (Comprimento)" xr:uid="{00000000-0004-0000-5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dimension ref="A1:E79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135</v>
      </c>
      <c r="B1" s="20" t="s">
        <v>135</v>
      </c>
      <c r="C1" s="20" t="s">
        <v>135</v>
      </c>
      <c r="D1" s="20" t="s">
        <v>135</v>
      </c>
      <c r="E1" s="20" t="s">
        <v>135</v>
      </c>
    </row>
    <row r="2" spans="1:5">
      <c r="A2" s="20" t="s">
        <v>135</v>
      </c>
      <c r="B2" s="20" t="s">
        <v>135</v>
      </c>
      <c r="C2" s="20" t="s">
        <v>135</v>
      </c>
      <c r="D2" s="20" t="s">
        <v>135</v>
      </c>
      <c r="E2" s="20" t="s">
        <v>135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1227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1228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1229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1230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1231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1232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1233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1234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1235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1236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1237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1238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1239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1240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1241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1242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1243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1244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1245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1246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1247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1248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1249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1250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1251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1252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1253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1254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1255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1256</v>
      </c>
      <c r="E36" s="8">
        <v>1</v>
      </c>
    </row>
    <row r="37" spans="1:5" ht="24.75">
      <c r="A37" s="8" t="s">
        <v>399</v>
      </c>
      <c r="B37" s="8" t="s">
        <v>253</v>
      </c>
      <c r="C37" s="8" t="s">
        <v>277</v>
      </c>
      <c r="D37" s="8" t="s">
        <v>1257</v>
      </c>
      <c r="E37" s="8">
        <v>1</v>
      </c>
    </row>
    <row r="38" spans="1:5" ht="24.75">
      <c r="A38" s="8" t="s">
        <v>399</v>
      </c>
      <c r="B38" s="8" t="s">
        <v>253</v>
      </c>
      <c r="C38" s="8" t="s">
        <v>277</v>
      </c>
      <c r="D38" s="8" t="s">
        <v>1258</v>
      </c>
      <c r="E38" s="8">
        <v>1</v>
      </c>
    </row>
    <row r="39" spans="1:5" ht="24.75">
      <c r="A39" s="8" t="s">
        <v>399</v>
      </c>
      <c r="B39" s="8" t="s">
        <v>253</v>
      </c>
      <c r="C39" s="8" t="s">
        <v>277</v>
      </c>
      <c r="D39" s="8" t="s">
        <v>1259</v>
      </c>
      <c r="E39" s="8">
        <v>1</v>
      </c>
    </row>
    <row r="40" spans="1:5" ht="24.75">
      <c r="A40" s="8" t="s">
        <v>399</v>
      </c>
      <c r="B40" s="8" t="s">
        <v>253</v>
      </c>
      <c r="C40" s="8" t="s">
        <v>277</v>
      </c>
      <c r="D40" s="8" t="s">
        <v>1260</v>
      </c>
      <c r="E40" s="8">
        <v>1</v>
      </c>
    </row>
    <row r="41" spans="1:5" ht="24.75">
      <c r="A41" s="8" t="s">
        <v>399</v>
      </c>
      <c r="B41" s="8" t="s">
        <v>253</v>
      </c>
      <c r="C41" s="8" t="s">
        <v>277</v>
      </c>
      <c r="D41" s="8" t="s">
        <v>1261</v>
      </c>
      <c r="E41" s="8">
        <v>1</v>
      </c>
    </row>
    <row r="42" spans="1:5" ht="24.75">
      <c r="A42" s="8" t="s">
        <v>399</v>
      </c>
      <c r="B42" s="8" t="s">
        <v>253</v>
      </c>
      <c r="C42" s="8" t="s">
        <v>277</v>
      </c>
      <c r="D42" s="8" t="s">
        <v>1262</v>
      </c>
      <c r="E42" s="8">
        <v>1</v>
      </c>
    </row>
    <row r="43" spans="1:5" ht="24.75">
      <c r="A43" s="8" t="s">
        <v>399</v>
      </c>
      <c r="B43" s="8" t="s">
        <v>253</v>
      </c>
      <c r="C43" s="8" t="s">
        <v>277</v>
      </c>
      <c r="D43" s="8" t="s">
        <v>1263</v>
      </c>
      <c r="E43" s="8">
        <v>1</v>
      </c>
    </row>
    <row r="44" spans="1:5" ht="24.75">
      <c r="A44" s="8" t="s">
        <v>399</v>
      </c>
      <c r="B44" s="8" t="s">
        <v>253</v>
      </c>
      <c r="C44" s="8" t="s">
        <v>277</v>
      </c>
      <c r="D44" s="8" t="s">
        <v>1264</v>
      </c>
      <c r="E44" s="8">
        <v>1</v>
      </c>
    </row>
    <row r="45" spans="1:5" ht="24.75">
      <c r="A45" s="8" t="s">
        <v>399</v>
      </c>
      <c r="B45" s="8" t="s">
        <v>253</v>
      </c>
      <c r="C45" s="8" t="s">
        <v>277</v>
      </c>
      <c r="D45" s="8" t="s">
        <v>1265</v>
      </c>
      <c r="E45" s="8">
        <v>1</v>
      </c>
    </row>
    <row r="46" spans="1:5" ht="24.75">
      <c r="A46" s="8" t="s">
        <v>399</v>
      </c>
      <c r="B46" s="8" t="s">
        <v>253</v>
      </c>
      <c r="C46" s="8" t="s">
        <v>277</v>
      </c>
      <c r="D46" s="8" t="s">
        <v>1266</v>
      </c>
      <c r="E46" s="8">
        <v>1</v>
      </c>
    </row>
    <row r="47" spans="1:5" ht="24.75">
      <c r="A47" s="8" t="s">
        <v>399</v>
      </c>
      <c r="B47" s="8" t="s">
        <v>253</v>
      </c>
      <c r="C47" s="8" t="s">
        <v>277</v>
      </c>
      <c r="D47" s="8" t="s">
        <v>1267</v>
      </c>
      <c r="E47" s="8">
        <v>1</v>
      </c>
    </row>
    <row r="48" spans="1:5" ht="24.75">
      <c r="A48" s="8" t="s">
        <v>399</v>
      </c>
      <c r="B48" s="8" t="s">
        <v>253</v>
      </c>
      <c r="C48" s="8" t="s">
        <v>277</v>
      </c>
      <c r="D48" s="8" t="s">
        <v>1268</v>
      </c>
      <c r="E48" s="8">
        <v>1</v>
      </c>
    </row>
    <row r="49" spans="1:5" ht="24.75">
      <c r="A49" s="8" t="s">
        <v>399</v>
      </c>
      <c r="B49" s="8" t="s">
        <v>253</v>
      </c>
      <c r="C49" s="8" t="s">
        <v>277</v>
      </c>
      <c r="D49" s="8" t="s">
        <v>1269</v>
      </c>
      <c r="E49" s="8">
        <v>1</v>
      </c>
    </row>
    <row r="50" spans="1:5" ht="24.75">
      <c r="A50" s="8" t="s">
        <v>399</v>
      </c>
      <c r="B50" s="8" t="s">
        <v>253</v>
      </c>
      <c r="C50" s="8" t="s">
        <v>277</v>
      </c>
      <c r="D50" s="8" t="s">
        <v>1270</v>
      </c>
      <c r="E50" s="8">
        <v>1</v>
      </c>
    </row>
    <row r="51" spans="1:5" ht="24.75">
      <c r="A51" s="8" t="s">
        <v>399</v>
      </c>
      <c r="B51" s="8" t="s">
        <v>253</v>
      </c>
      <c r="C51" s="8" t="s">
        <v>277</v>
      </c>
      <c r="D51" s="8" t="s">
        <v>1271</v>
      </c>
      <c r="E51" s="8">
        <v>1</v>
      </c>
    </row>
    <row r="52" spans="1:5" ht="24.75">
      <c r="A52" s="8" t="s">
        <v>399</v>
      </c>
      <c r="B52" s="8" t="s">
        <v>253</v>
      </c>
      <c r="C52" s="8" t="s">
        <v>277</v>
      </c>
      <c r="D52" s="8" t="s">
        <v>1272</v>
      </c>
      <c r="E52" s="8">
        <v>1</v>
      </c>
    </row>
    <row r="53" spans="1:5" ht="24.75">
      <c r="A53" s="8" t="s">
        <v>399</v>
      </c>
      <c r="B53" s="8" t="s">
        <v>253</v>
      </c>
      <c r="C53" s="8" t="s">
        <v>277</v>
      </c>
      <c r="D53" s="8" t="s">
        <v>1273</v>
      </c>
      <c r="E53" s="8">
        <v>1</v>
      </c>
    </row>
    <row r="54" spans="1:5" ht="24.75">
      <c r="A54" s="8" t="s">
        <v>399</v>
      </c>
      <c r="B54" s="8" t="s">
        <v>253</v>
      </c>
      <c r="C54" s="8" t="s">
        <v>277</v>
      </c>
      <c r="D54" s="8" t="s">
        <v>1274</v>
      </c>
      <c r="E54" s="8">
        <v>1</v>
      </c>
    </row>
    <row r="55" spans="1:5" ht="24.75">
      <c r="A55" s="8" t="s">
        <v>399</v>
      </c>
      <c r="B55" s="8" t="s">
        <v>253</v>
      </c>
      <c r="C55" s="8" t="s">
        <v>277</v>
      </c>
      <c r="D55" s="8" t="s">
        <v>1275</v>
      </c>
      <c r="E55" s="8">
        <v>1</v>
      </c>
    </row>
    <row r="56" spans="1:5" ht="24.75">
      <c r="A56" s="8" t="s">
        <v>399</v>
      </c>
      <c r="B56" s="8" t="s">
        <v>253</v>
      </c>
      <c r="C56" s="8" t="s">
        <v>277</v>
      </c>
      <c r="D56" s="8" t="s">
        <v>1276</v>
      </c>
      <c r="E56" s="8">
        <v>1</v>
      </c>
    </row>
    <row r="57" spans="1:5" ht="24.75">
      <c r="A57" s="8" t="s">
        <v>399</v>
      </c>
      <c r="B57" s="8" t="s">
        <v>253</v>
      </c>
      <c r="C57" s="8" t="s">
        <v>277</v>
      </c>
      <c r="D57" s="8" t="s">
        <v>1277</v>
      </c>
      <c r="E57" s="8">
        <v>1</v>
      </c>
    </row>
    <row r="58" spans="1:5" ht="24.75">
      <c r="A58" s="8" t="s">
        <v>399</v>
      </c>
      <c r="B58" s="8" t="s">
        <v>253</v>
      </c>
      <c r="C58" s="8" t="s">
        <v>277</v>
      </c>
      <c r="D58" s="8" t="s">
        <v>1278</v>
      </c>
      <c r="E58" s="8">
        <v>1</v>
      </c>
    </row>
    <row r="59" spans="1:5" ht="24.75">
      <c r="A59" s="8" t="s">
        <v>399</v>
      </c>
      <c r="B59" s="8" t="s">
        <v>253</v>
      </c>
      <c r="C59" s="8" t="s">
        <v>277</v>
      </c>
      <c r="D59" s="8" t="s">
        <v>1279</v>
      </c>
      <c r="E59" s="8">
        <v>1</v>
      </c>
    </row>
    <row r="60" spans="1:5" ht="24.75">
      <c r="A60" s="8" t="s">
        <v>399</v>
      </c>
      <c r="B60" s="8" t="s">
        <v>253</v>
      </c>
      <c r="C60" s="8" t="s">
        <v>277</v>
      </c>
      <c r="D60" s="8" t="s">
        <v>1280</v>
      </c>
      <c r="E60" s="8">
        <v>1</v>
      </c>
    </row>
    <row r="61" spans="1:5" ht="24.75">
      <c r="A61" s="8" t="s">
        <v>399</v>
      </c>
      <c r="B61" s="8" t="s">
        <v>253</v>
      </c>
      <c r="C61" s="8" t="s">
        <v>277</v>
      </c>
      <c r="D61" s="8" t="s">
        <v>1281</v>
      </c>
      <c r="E61" s="8">
        <v>1</v>
      </c>
    </row>
    <row r="62" spans="1:5" ht="24.75">
      <c r="A62" s="8" t="s">
        <v>399</v>
      </c>
      <c r="B62" s="8" t="s">
        <v>253</v>
      </c>
      <c r="C62" s="8" t="s">
        <v>277</v>
      </c>
      <c r="D62" s="8" t="s">
        <v>1282</v>
      </c>
      <c r="E62" s="8">
        <v>1</v>
      </c>
    </row>
    <row r="63" spans="1:5" ht="24.75">
      <c r="A63" s="8" t="s">
        <v>399</v>
      </c>
      <c r="B63" s="8" t="s">
        <v>253</v>
      </c>
      <c r="C63" s="8" t="s">
        <v>277</v>
      </c>
      <c r="D63" s="8" t="s">
        <v>1283</v>
      </c>
      <c r="E63" s="8">
        <v>1</v>
      </c>
    </row>
    <row r="64" spans="1:5" ht="24.75">
      <c r="A64" s="8" t="s">
        <v>399</v>
      </c>
      <c r="B64" s="8" t="s">
        <v>253</v>
      </c>
      <c r="C64" s="8" t="s">
        <v>277</v>
      </c>
      <c r="D64" s="8" t="s">
        <v>1284</v>
      </c>
      <c r="E64" s="8">
        <v>1</v>
      </c>
    </row>
    <row r="65" spans="1:5" ht="24.75">
      <c r="A65" s="8" t="s">
        <v>399</v>
      </c>
      <c r="B65" s="8" t="s">
        <v>253</v>
      </c>
      <c r="C65" s="8" t="s">
        <v>277</v>
      </c>
      <c r="D65" s="8" t="s">
        <v>1285</v>
      </c>
      <c r="E65" s="8">
        <v>1</v>
      </c>
    </row>
    <row r="66" spans="1:5" ht="24.75">
      <c r="A66" s="8" t="s">
        <v>399</v>
      </c>
      <c r="B66" s="8" t="s">
        <v>253</v>
      </c>
      <c r="C66" s="8" t="s">
        <v>277</v>
      </c>
      <c r="D66" s="8" t="s">
        <v>1286</v>
      </c>
      <c r="E66" s="8">
        <v>1</v>
      </c>
    </row>
    <row r="67" spans="1:5" ht="24.75">
      <c r="A67" s="8" t="s">
        <v>399</v>
      </c>
      <c r="B67" s="8" t="s">
        <v>253</v>
      </c>
      <c r="C67" s="8" t="s">
        <v>277</v>
      </c>
      <c r="D67" s="8" t="s">
        <v>1287</v>
      </c>
      <c r="E67" s="8">
        <v>1</v>
      </c>
    </row>
    <row r="68" spans="1:5" ht="24.75">
      <c r="A68" s="8" t="s">
        <v>399</v>
      </c>
      <c r="B68" s="8" t="s">
        <v>253</v>
      </c>
      <c r="C68" s="8" t="s">
        <v>277</v>
      </c>
      <c r="D68" s="8" t="s">
        <v>1288</v>
      </c>
      <c r="E68" s="8">
        <v>1</v>
      </c>
    </row>
    <row r="69" spans="1:5" ht="24.75">
      <c r="A69" s="8" t="s">
        <v>399</v>
      </c>
      <c r="B69" s="8" t="s">
        <v>253</v>
      </c>
      <c r="C69" s="8" t="s">
        <v>277</v>
      </c>
      <c r="D69" s="8" t="s">
        <v>1289</v>
      </c>
      <c r="E69" s="8">
        <v>1</v>
      </c>
    </row>
    <row r="70" spans="1:5" ht="24.75">
      <c r="A70" s="8" t="s">
        <v>399</v>
      </c>
      <c r="B70" s="8" t="s">
        <v>253</v>
      </c>
      <c r="C70" s="8" t="s">
        <v>277</v>
      </c>
      <c r="D70" s="8" t="s">
        <v>1290</v>
      </c>
      <c r="E70" s="8">
        <v>1</v>
      </c>
    </row>
    <row r="71" spans="1:5" ht="24.75">
      <c r="A71" s="8" t="s">
        <v>399</v>
      </c>
      <c r="B71" s="8" t="s">
        <v>253</v>
      </c>
      <c r="C71" s="8" t="s">
        <v>277</v>
      </c>
      <c r="D71" s="8" t="s">
        <v>1291</v>
      </c>
      <c r="E71" s="8">
        <v>1</v>
      </c>
    </row>
    <row r="72" spans="1:5" ht="24.75">
      <c r="A72" s="8" t="s">
        <v>399</v>
      </c>
      <c r="B72" s="8" t="s">
        <v>253</v>
      </c>
      <c r="C72" s="8" t="s">
        <v>277</v>
      </c>
      <c r="D72" s="8" t="s">
        <v>1292</v>
      </c>
      <c r="E72" s="8">
        <v>1</v>
      </c>
    </row>
    <row r="73" spans="1:5" ht="24.75">
      <c r="A73" s="8" t="s">
        <v>399</v>
      </c>
      <c r="B73" s="8" t="s">
        <v>253</v>
      </c>
      <c r="C73" s="8" t="s">
        <v>277</v>
      </c>
      <c r="D73" s="8" t="s">
        <v>1293</v>
      </c>
      <c r="E73" s="8">
        <v>1</v>
      </c>
    </row>
    <row r="74" spans="1:5" ht="24.75">
      <c r="A74" s="8" t="s">
        <v>399</v>
      </c>
      <c r="B74" s="8" t="s">
        <v>253</v>
      </c>
      <c r="C74" s="8" t="s">
        <v>277</v>
      </c>
      <c r="D74" s="8" t="s">
        <v>1294</v>
      </c>
      <c r="E74" s="8">
        <v>1</v>
      </c>
    </row>
    <row r="75" spans="1:5" ht="24.75">
      <c r="A75" s="8" t="s">
        <v>399</v>
      </c>
      <c r="B75" s="8" t="s">
        <v>253</v>
      </c>
      <c r="C75" s="8" t="s">
        <v>277</v>
      </c>
      <c r="D75" s="8" t="s">
        <v>1295</v>
      </c>
      <c r="E75" s="8">
        <v>1</v>
      </c>
    </row>
    <row r="76" spans="1:5" ht="24.75">
      <c r="A76" s="8" t="s">
        <v>399</v>
      </c>
      <c r="B76" s="8" t="s">
        <v>253</v>
      </c>
      <c r="C76" s="8" t="s">
        <v>277</v>
      </c>
      <c r="D76" s="8" t="s">
        <v>1296</v>
      </c>
      <c r="E76" s="8">
        <v>1</v>
      </c>
    </row>
    <row r="77" spans="1:5" ht="24.75">
      <c r="A77" s="8" t="s">
        <v>399</v>
      </c>
      <c r="B77" s="8" t="s">
        <v>253</v>
      </c>
      <c r="C77" s="8" t="s">
        <v>277</v>
      </c>
      <c r="D77" s="8" t="s">
        <v>1297</v>
      </c>
      <c r="E77" s="8">
        <v>1</v>
      </c>
    </row>
    <row r="78" spans="1:5" ht="24.75">
      <c r="A78" s="8" t="s">
        <v>399</v>
      </c>
      <c r="B78" s="8" t="s">
        <v>253</v>
      </c>
      <c r="C78" s="8" t="s">
        <v>277</v>
      </c>
      <c r="D78" s="8" t="s">
        <v>1298</v>
      </c>
      <c r="E78" s="8">
        <v>1</v>
      </c>
    </row>
    <row r="79" spans="1:5">
      <c r="A79" s="1" t="s">
        <v>246</v>
      </c>
      <c r="B79" s="1" t="s">
        <v>246</v>
      </c>
      <c r="C79" s="1">
        <f>SUBTOTAL(103,Elements13_3_321[Elemento])</f>
        <v>72</v>
      </c>
      <c r="D79" s="1" t="s">
        <v>246</v>
      </c>
      <c r="E79" s="1">
        <f>SUBTOTAL(109,Elements13_3_321[Totais:])</f>
        <v>72</v>
      </c>
    </row>
  </sheetData>
  <mergeCells count="3">
    <mergeCell ref="A1:E2"/>
    <mergeCell ref="A4:E4"/>
    <mergeCell ref="A5:E5"/>
  </mergeCells>
  <hyperlinks>
    <hyperlink ref="A1" location="'13.3.32'!A1" display="JOELHO 90 GRAUS, PVC, SERIE NORMAL, ESGOTO PREDIAL, DN 40 MM, JUNTA SOLDÁVEL, FORNECIDO E INSTALADO EM RAMAL DE DESCARGA OU RAMAL DE ESGOTO SANITÁRIO. AF_08/2022" xr:uid="{00000000-0004-0000-6000-000000000000}"/>
    <hyperlink ref="B1" location="'13.3.32'!A1" display="JOELHO 90 GRAUS, PVC, SERIE NORMAL, ESGOTO PREDIAL, DN 40 MM, JUNTA SOLDÁVEL, FORNECIDO E INSTALADO EM RAMAL DE DESCARGA OU RAMAL DE ESGOTO SANITÁRIO. AF_08/2022" xr:uid="{00000000-0004-0000-6000-000001000000}"/>
    <hyperlink ref="C1" location="'13.3.32'!A1" display="JOELHO 90 GRAUS, PVC, SERIE NORMAL, ESGOTO PREDIAL, DN 40 MM, JUNTA SOLDÁVEL, FORNECIDO E INSTALADO EM RAMAL DE DESCARGA OU RAMAL DE ESGOTO SANITÁRIO. AF_08/2022" xr:uid="{00000000-0004-0000-6000-000002000000}"/>
    <hyperlink ref="D1" location="'13.3.32'!A1" display="JOELHO 90 GRAUS, PVC, SERIE NORMAL, ESGOTO PREDIAL, DN 40 MM, JUNTA SOLDÁVEL, FORNECIDO E INSTALADO EM RAMAL DE DESCARGA OU RAMAL DE ESGOTO SANITÁRIO. AF_08/2022" xr:uid="{00000000-0004-0000-6000-000003000000}"/>
    <hyperlink ref="E1" location="'13.3.32'!A1" display="JOELHO 90 GRAUS, PVC, SERIE NORMAL, ESGOTO PREDIAL, DN 40 MM, JUNTA SOLDÁVEL, FORNECIDO E INSTALADO EM RAMAL DE DESCARGA OU RAMAL DE ESGOTO SANITÁRIO. AF_08/2022" xr:uid="{00000000-0004-0000-6000-000004000000}"/>
    <hyperlink ref="A2" location="'13.3.32'!A1" display="JOELHO 90 GRAUS, PVC, SERIE NORMAL, ESGOTO PREDIAL, DN 40 MM, JUNTA SOLDÁVEL, FORNECIDO E INSTALADO EM RAMAL DE DESCARGA OU RAMAL DE ESGOTO SANITÁRIO. AF_08/2022" xr:uid="{00000000-0004-0000-6000-000005000000}"/>
    <hyperlink ref="B2" location="'13.3.32'!A1" display="JOELHO 90 GRAUS, PVC, SERIE NORMAL, ESGOTO PREDIAL, DN 40 MM, JUNTA SOLDÁVEL, FORNECIDO E INSTALADO EM RAMAL DE DESCARGA OU RAMAL DE ESGOTO SANITÁRIO. AF_08/2022" xr:uid="{00000000-0004-0000-6000-000006000000}"/>
    <hyperlink ref="C2" location="'13.3.32'!A1" display="JOELHO 90 GRAUS, PVC, SERIE NORMAL, ESGOTO PREDIAL, DN 40 MM, JUNTA SOLDÁVEL, FORNECIDO E INSTALADO EM RAMAL DE DESCARGA OU RAMAL DE ESGOTO SANITÁRIO. AF_08/2022" xr:uid="{00000000-0004-0000-6000-000007000000}"/>
    <hyperlink ref="D2" location="'13.3.32'!A1" display="JOELHO 90 GRAUS, PVC, SERIE NORMAL, ESGOTO PREDIAL, DN 40 MM, JUNTA SOLDÁVEL, FORNECIDO E INSTALADO EM RAMAL DE DESCARGA OU RAMAL DE ESGOTO SANITÁRIO. AF_08/2022" xr:uid="{00000000-0004-0000-6000-000008000000}"/>
    <hyperlink ref="E2" location="'13.3.32'!A1" display="JOELHO 90 GRAUS, PVC, SERIE NORMAL, ESGOTO PREDIAL, DN 40 MM, JUNTA SOLDÁVEL, FORNECIDO E INSTALADO EM RAMAL DE DESCARGA OU RAMAL DE ESGOTO SANITÁRIO. AF_08/2022" xr:uid="{00000000-0004-0000-6000-000009000000}"/>
    <hyperlink ref="A4" location="'13.3.32'!A1" display="Conexões de tubo (Afastamento)" xr:uid="{00000000-0004-0000-6000-00000A000000}"/>
    <hyperlink ref="B4" location="'13.3.32'!A1" display="Conexões de tubo (Afastamento)" xr:uid="{00000000-0004-0000-6000-00000B000000}"/>
    <hyperlink ref="C4" location="'13.3.32'!A1" display="Conexões de tubo (Afastamento)" xr:uid="{00000000-0004-0000-6000-00000C000000}"/>
    <hyperlink ref="D4" location="'13.3.32'!A1" display="Conexões de tubo (Afastamento)" xr:uid="{00000000-0004-0000-6000-00000D000000}"/>
    <hyperlink ref="E4" location="'13.3.32'!A1" display="Conexões de tubo (Afastamento)" xr:uid="{00000000-0004-0000-6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A1:E37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139</v>
      </c>
      <c r="B1" s="20" t="s">
        <v>139</v>
      </c>
      <c r="C1" s="20" t="s">
        <v>139</v>
      </c>
      <c r="D1" s="20" t="s">
        <v>139</v>
      </c>
      <c r="E1" s="20" t="s">
        <v>139</v>
      </c>
    </row>
    <row r="2" spans="1:5">
      <c r="A2" s="20" t="s">
        <v>139</v>
      </c>
      <c r="B2" s="20" t="s">
        <v>139</v>
      </c>
      <c r="C2" s="20" t="s">
        <v>139</v>
      </c>
      <c r="D2" s="20" t="s">
        <v>139</v>
      </c>
      <c r="E2" s="20" t="s">
        <v>139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1299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1300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1301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1302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1303</v>
      </c>
      <c r="E11" s="8">
        <v>1</v>
      </c>
    </row>
    <row r="12" spans="1:5" ht="24.75">
      <c r="A12" s="8" t="s">
        <v>399</v>
      </c>
      <c r="B12" s="8" t="s">
        <v>253</v>
      </c>
      <c r="C12" s="8" t="s">
        <v>277</v>
      </c>
      <c r="D12" s="8" t="s">
        <v>1304</v>
      </c>
      <c r="E12" s="8">
        <v>1</v>
      </c>
    </row>
    <row r="13" spans="1:5" ht="24.75">
      <c r="A13" s="8" t="s">
        <v>399</v>
      </c>
      <c r="B13" s="8" t="s">
        <v>253</v>
      </c>
      <c r="C13" s="8" t="s">
        <v>277</v>
      </c>
      <c r="D13" s="8" t="s">
        <v>1305</v>
      </c>
      <c r="E13" s="8">
        <v>1</v>
      </c>
    </row>
    <row r="14" spans="1:5" ht="24.75">
      <c r="A14" s="8" t="s">
        <v>399</v>
      </c>
      <c r="B14" s="8" t="s">
        <v>253</v>
      </c>
      <c r="C14" s="8" t="s">
        <v>277</v>
      </c>
      <c r="D14" s="8" t="s">
        <v>1306</v>
      </c>
      <c r="E14" s="8">
        <v>1</v>
      </c>
    </row>
    <row r="15" spans="1:5" ht="24.75">
      <c r="A15" s="8" t="s">
        <v>399</v>
      </c>
      <c r="B15" s="8" t="s">
        <v>253</v>
      </c>
      <c r="C15" s="8" t="s">
        <v>277</v>
      </c>
      <c r="D15" s="8" t="s">
        <v>1307</v>
      </c>
      <c r="E15" s="8">
        <v>1</v>
      </c>
    </row>
    <row r="16" spans="1:5" ht="24.75">
      <c r="A16" s="8" t="s">
        <v>399</v>
      </c>
      <c r="B16" s="8" t="s">
        <v>253</v>
      </c>
      <c r="C16" s="8" t="s">
        <v>277</v>
      </c>
      <c r="D16" s="8" t="s">
        <v>1308</v>
      </c>
      <c r="E16" s="8">
        <v>1</v>
      </c>
    </row>
    <row r="17" spans="1:5" ht="24.75">
      <c r="A17" s="8" t="s">
        <v>399</v>
      </c>
      <c r="B17" s="8" t="s">
        <v>253</v>
      </c>
      <c r="C17" s="8" t="s">
        <v>277</v>
      </c>
      <c r="D17" s="8" t="s">
        <v>1309</v>
      </c>
      <c r="E17" s="8">
        <v>1</v>
      </c>
    </row>
    <row r="18" spans="1:5" ht="24.75">
      <c r="A18" s="8" t="s">
        <v>399</v>
      </c>
      <c r="B18" s="8" t="s">
        <v>253</v>
      </c>
      <c r="C18" s="8" t="s">
        <v>277</v>
      </c>
      <c r="D18" s="8" t="s">
        <v>1310</v>
      </c>
      <c r="E18" s="8">
        <v>1</v>
      </c>
    </row>
    <row r="19" spans="1:5" ht="24.75">
      <c r="A19" s="8" t="s">
        <v>399</v>
      </c>
      <c r="B19" s="8" t="s">
        <v>253</v>
      </c>
      <c r="C19" s="8" t="s">
        <v>277</v>
      </c>
      <c r="D19" s="8" t="s">
        <v>1311</v>
      </c>
      <c r="E19" s="8">
        <v>1</v>
      </c>
    </row>
    <row r="20" spans="1:5" ht="24.75">
      <c r="A20" s="8" t="s">
        <v>399</v>
      </c>
      <c r="B20" s="8" t="s">
        <v>253</v>
      </c>
      <c r="C20" s="8" t="s">
        <v>277</v>
      </c>
      <c r="D20" s="8" t="s">
        <v>1312</v>
      </c>
      <c r="E20" s="8">
        <v>1</v>
      </c>
    </row>
    <row r="21" spans="1:5" ht="24.75">
      <c r="A21" s="8" t="s">
        <v>399</v>
      </c>
      <c r="B21" s="8" t="s">
        <v>253</v>
      </c>
      <c r="C21" s="8" t="s">
        <v>277</v>
      </c>
      <c r="D21" s="8" t="s">
        <v>1313</v>
      </c>
      <c r="E21" s="8">
        <v>1</v>
      </c>
    </row>
    <row r="22" spans="1:5" ht="24.75">
      <c r="A22" s="8" t="s">
        <v>399</v>
      </c>
      <c r="B22" s="8" t="s">
        <v>253</v>
      </c>
      <c r="C22" s="8" t="s">
        <v>277</v>
      </c>
      <c r="D22" s="8" t="s">
        <v>1314</v>
      </c>
      <c r="E22" s="8">
        <v>1</v>
      </c>
    </row>
    <row r="23" spans="1:5" ht="24.75">
      <c r="A23" s="8" t="s">
        <v>399</v>
      </c>
      <c r="B23" s="8" t="s">
        <v>253</v>
      </c>
      <c r="C23" s="8" t="s">
        <v>277</v>
      </c>
      <c r="D23" s="8" t="s">
        <v>1315</v>
      </c>
      <c r="E23" s="8">
        <v>1</v>
      </c>
    </row>
    <row r="24" spans="1:5" ht="24.75">
      <c r="A24" s="8" t="s">
        <v>399</v>
      </c>
      <c r="B24" s="8" t="s">
        <v>253</v>
      </c>
      <c r="C24" s="8" t="s">
        <v>277</v>
      </c>
      <c r="D24" s="8" t="s">
        <v>1316</v>
      </c>
      <c r="E24" s="8">
        <v>1</v>
      </c>
    </row>
    <row r="25" spans="1:5" ht="24.75">
      <c r="A25" s="8" t="s">
        <v>399</v>
      </c>
      <c r="B25" s="8" t="s">
        <v>253</v>
      </c>
      <c r="C25" s="8" t="s">
        <v>277</v>
      </c>
      <c r="D25" s="8" t="s">
        <v>1317</v>
      </c>
      <c r="E25" s="8">
        <v>1</v>
      </c>
    </row>
    <row r="26" spans="1:5" ht="24.75">
      <c r="A26" s="8" t="s">
        <v>399</v>
      </c>
      <c r="B26" s="8" t="s">
        <v>253</v>
      </c>
      <c r="C26" s="8" t="s">
        <v>277</v>
      </c>
      <c r="D26" s="8" t="s">
        <v>1318</v>
      </c>
      <c r="E26" s="8">
        <v>1</v>
      </c>
    </row>
    <row r="27" spans="1:5" ht="24.75">
      <c r="A27" s="8" t="s">
        <v>399</v>
      </c>
      <c r="B27" s="8" t="s">
        <v>253</v>
      </c>
      <c r="C27" s="8" t="s">
        <v>277</v>
      </c>
      <c r="D27" s="8" t="s">
        <v>1319</v>
      </c>
      <c r="E27" s="8">
        <v>1</v>
      </c>
    </row>
    <row r="28" spans="1:5" ht="24.75">
      <c r="A28" s="8" t="s">
        <v>399</v>
      </c>
      <c r="B28" s="8" t="s">
        <v>253</v>
      </c>
      <c r="C28" s="8" t="s">
        <v>277</v>
      </c>
      <c r="D28" s="8" t="s">
        <v>1320</v>
      </c>
      <c r="E28" s="8">
        <v>1</v>
      </c>
    </row>
    <row r="29" spans="1:5" ht="24.75">
      <c r="A29" s="8" t="s">
        <v>399</v>
      </c>
      <c r="B29" s="8" t="s">
        <v>253</v>
      </c>
      <c r="C29" s="8" t="s">
        <v>277</v>
      </c>
      <c r="D29" s="8" t="s">
        <v>1321</v>
      </c>
      <c r="E29" s="8">
        <v>1</v>
      </c>
    </row>
    <row r="30" spans="1:5" ht="24.75">
      <c r="A30" s="8" t="s">
        <v>399</v>
      </c>
      <c r="B30" s="8" t="s">
        <v>253</v>
      </c>
      <c r="C30" s="8" t="s">
        <v>277</v>
      </c>
      <c r="D30" s="8" t="s">
        <v>1322</v>
      </c>
      <c r="E30" s="8">
        <v>1</v>
      </c>
    </row>
    <row r="31" spans="1:5" ht="24.75">
      <c r="A31" s="8" t="s">
        <v>399</v>
      </c>
      <c r="B31" s="8" t="s">
        <v>253</v>
      </c>
      <c r="C31" s="8" t="s">
        <v>277</v>
      </c>
      <c r="D31" s="8" t="s">
        <v>1323</v>
      </c>
      <c r="E31" s="8">
        <v>1</v>
      </c>
    </row>
    <row r="32" spans="1:5" ht="24.75">
      <c r="A32" s="8" t="s">
        <v>399</v>
      </c>
      <c r="B32" s="8" t="s">
        <v>253</v>
      </c>
      <c r="C32" s="8" t="s">
        <v>277</v>
      </c>
      <c r="D32" s="8" t="s">
        <v>1324</v>
      </c>
      <c r="E32" s="8">
        <v>1</v>
      </c>
    </row>
    <row r="33" spans="1:5" ht="24.75">
      <c r="A33" s="8" t="s">
        <v>399</v>
      </c>
      <c r="B33" s="8" t="s">
        <v>253</v>
      </c>
      <c r="C33" s="8" t="s">
        <v>277</v>
      </c>
      <c r="D33" s="8" t="s">
        <v>1325</v>
      </c>
      <c r="E33" s="8">
        <v>1</v>
      </c>
    </row>
    <row r="34" spans="1:5" ht="24.75">
      <c r="A34" s="8" t="s">
        <v>399</v>
      </c>
      <c r="B34" s="8" t="s">
        <v>253</v>
      </c>
      <c r="C34" s="8" t="s">
        <v>277</v>
      </c>
      <c r="D34" s="8" t="s">
        <v>1326</v>
      </c>
      <c r="E34" s="8">
        <v>1</v>
      </c>
    </row>
    <row r="35" spans="1:5" ht="24.75">
      <c r="A35" s="8" t="s">
        <v>399</v>
      </c>
      <c r="B35" s="8" t="s">
        <v>253</v>
      </c>
      <c r="C35" s="8" t="s">
        <v>277</v>
      </c>
      <c r="D35" s="8" t="s">
        <v>1327</v>
      </c>
      <c r="E35" s="8">
        <v>1</v>
      </c>
    </row>
    <row r="36" spans="1:5" ht="24.75">
      <c r="A36" s="8" t="s">
        <v>399</v>
      </c>
      <c r="B36" s="8" t="s">
        <v>253</v>
      </c>
      <c r="C36" s="8" t="s">
        <v>277</v>
      </c>
      <c r="D36" s="8" t="s">
        <v>1328</v>
      </c>
      <c r="E36" s="8">
        <v>1</v>
      </c>
    </row>
    <row r="37" spans="1:5">
      <c r="A37" s="1" t="s">
        <v>246</v>
      </c>
      <c r="B37" s="1" t="s">
        <v>246</v>
      </c>
      <c r="C37" s="1">
        <f>SUBTOTAL(103,Elements13_3_331[Elemento])</f>
        <v>30</v>
      </c>
      <c r="D37" s="1" t="s">
        <v>246</v>
      </c>
      <c r="E37" s="1">
        <f>SUBTOTAL(109,Elements13_3_331[Totais:])</f>
        <v>30</v>
      </c>
    </row>
  </sheetData>
  <mergeCells count="3">
    <mergeCell ref="A1:E2"/>
    <mergeCell ref="A4:E4"/>
    <mergeCell ref="A5:E5"/>
  </mergeCells>
  <hyperlinks>
    <hyperlink ref="A1" location="'13.3.33'!A1" display="JOELHO 90 GRAUS, PVC, SERIE NORMAL, ESGOTO PREDIAL, DN 50 MM, JUNTA ELÁSTICA, FORNECIDO E INSTALADO EM RAMAL DE DESCARGA OU RAMAL DE ESGOTO SANITÁRIO. AF_08/2022" xr:uid="{00000000-0004-0000-6100-000000000000}"/>
    <hyperlink ref="B1" location="'13.3.33'!A1" display="JOELHO 90 GRAUS, PVC, SERIE NORMAL, ESGOTO PREDIAL, DN 50 MM, JUNTA ELÁSTICA, FORNECIDO E INSTALADO EM RAMAL DE DESCARGA OU RAMAL DE ESGOTO SANITÁRIO. AF_08/2022" xr:uid="{00000000-0004-0000-6100-000001000000}"/>
    <hyperlink ref="C1" location="'13.3.33'!A1" display="JOELHO 90 GRAUS, PVC, SERIE NORMAL, ESGOTO PREDIAL, DN 50 MM, JUNTA ELÁSTICA, FORNECIDO E INSTALADO EM RAMAL DE DESCARGA OU RAMAL DE ESGOTO SANITÁRIO. AF_08/2022" xr:uid="{00000000-0004-0000-6100-000002000000}"/>
    <hyperlink ref="D1" location="'13.3.33'!A1" display="JOELHO 90 GRAUS, PVC, SERIE NORMAL, ESGOTO PREDIAL, DN 50 MM, JUNTA ELÁSTICA, FORNECIDO E INSTALADO EM RAMAL DE DESCARGA OU RAMAL DE ESGOTO SANITÁRIO. AF_08/2022" xr:uid="{00000000-0004-0000-6100-000003000000}"/>
    <hyperlink ref="E1" location="'13.3.33'!A1" display="JOELHO 90 GRAUS, PVC, SERIE NORMAL, ESGOTO PREDIAL, DN 50 MM, JUNTA ELÁSTICA, FORNECIDO E INSTALADO EM RAMAL DE DESCARGA OU RAMAL DE ESGOTO SANITÁRIO. AF_08/2022" xr:uid="{00000000-0004-0000-6100-000004000000}"/>
    <hyperlink ref="A2" location="'13.3.33'!A1" display="JOELHO 90 GRAUS, PVC, SERIE NORMAL, ESGOTO PREDIAL, DN 50 MM, JUNTA ELÁSTICA, FORNECIDO E INSTALADO EM RAMAL DE DESCARGA OU RAMAL DE ESGOTO SANITÁRIO. AF_08/2022" xr:uid="{00000000-0004-0000-6100-000005000000}"/>
    <hyperlink ref="B2" location="'13.3.33'!A1" display="JOELHO 90 GRAUS, PVC, SERIE NORMAL, ESGOTO PREDIAL, DN 50 MM, JUNTA ELÁSTICA, FORNECIDO E INSTALADO EM RAMAL DE DESCARGA OU RAMAL DE ESGOTO SANITÁRIO. AF_08/2022" xr:uid="{00000000-0004-0000-6100-000006000000}"/>
    <hyperlink ref="C2" location="'13.3.33'!A1" display="JOELHO 90 GRAUS, PVC, SERIE NORMAL, ESGOTO PREDIAL, DN 50 MM, JUNTA ELÁSTICA, FORNECIDO E INSTALADO EM RAMAL DE DESCARGA OU RAMAL DE ESGOTO SANITÁRIO. AF_08/2022" xr:uid="{00000000-0004-0000-6100-000007000000}"/>
    <hyperlink ref="D2" location="'13.3.33'!A1" display="JOELHO 90 GRAUS, PVC, SERIE NORMAL, ESGOTO PREDIAL, DN 50 MM, JUNTA ELÁSTICA, FORNECIDO E INSTALADO EM RAMAL DE DESCARGA OU RAMAL DE ESGOTO SANITÁRIO. AF_08/2022" xr:uid="{00000000-0004-0000-6100-000008000000}"/>
    <hyperlink ref="E2" location="'13.3.33'!A1" display="JOELHO 90 GRAUS, PVC, SERIE NORMAL, ESGOTO PREDIAL, DN 50 MM, JUNTA ELÁSTICA, FORNECIDO E INSTALADO EM RAMAL DE DESCARGA OU RAMAL DE ESGOTO SANITÁRIO. AF_08/2022" xr:uid="{00000000-0004-0000-6100-000009000000}"/>
    <hyperlink ref="A4" location="'13.3.33'!A1" display="Conexões de tubo (Afastamento)" xr:uid="{00000000-0004-0000-6100-00000A000000}"/>
    <hyperlink ref="B4" location="'13.3.33'!A1" display="Conexões de tubo (Afastamento)" xr:uid="{00000000-0004-0000-6100-00000B000000}"/>
    <hyperlink ref="C4" location="'13.3.33'!A1" display="Conexões de tubo (Afastamento)" xr:uid="{00000000-0004-0000-6100-00000C000000}"/>
    <hyperlink ref="D4" location="'13.3.33'!A1" display="Conexões de tubo (Afastamento)" xr:uid="{00000000-0004-0000-6100-00000D000000}"/>
    <hyperlink ref="E4" location="'13.3.33'!A1" display="Conexões de tubo (Afastamento)" xr:uid="{00000000-0004-0000-6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200-000000000000}">
  <dimension ref="A1:E12"/>
  <sheetViews>
    <sheetView showGridLines="0" workbookViewId="0"/>
  </sheetViews>
  <sheetFormatPr defaultRowHeight="1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>
      <c r="A1" s="20" t="s">
        <v>143</v>
      </c>
      <c r="B1" s="20" t="s">
        <v>143</v>
      </c>
      <c r="C1" s="20" t="s">
        <v>143</v>
      </c>
      <c r="D1" s="20" t="s">
        <v>143</v>
      </c>
      <c r="E1" s="20" t="s">
        <v>143</v>
      </c>
    </row>
    <row r="2" spans="1:5">
      <c r="A2" s="20" t="s">
        <v>143</v>
      </c>
      <c r="B2" s="20" t="s">
        <v>143</v>
      </c>
      <c r="C2" s="20" t="s">
        <v>143</v>
      </c>
      <c r="D2" s="20" t="s">
        <v>143</v>
      </c>
      <c r="E2" s="20" t="s">
        <v>143</v>
      </c>
    </row>
    <row r="4" spans="1:5">
      <c r="A4" s="15" t="s">
        <v>274</v>
      </c>
      <c r="B4" s="15" t="s">
        <v>274</v>
      </c>
      <c r="C4" s="15" t="s">
        <v>274</v>
      </c>
      <c r="D4" s="15" t="s">
        <v>274</v>
      </c>
      <c r="E4" s="15" t="s">
        <v>274</v>
      </c>
    </row>
    <row r="5" spans="1:5">
      <c r="A5" s="21" t="s">
        <v>246</v>
      </c>
      <c r="B5" s="21" t="s">
        <v>246</v>
      </c>
      <c r="C5" s="21" t="s">
        <v>246</v>
      </c>
      <c r="D5" s="21" t="s">
        <v>246</v>
      </c>
      <c r="E5" s="21" t="s">
        <v>246</v>
      </c>
    </row>
    <row r="6" spans="1:5">
      <c r="A6" s="7" t="s">
        <v>394</v>
      </c>
      <c r="B6" s="7" t="s">
        <v>395</v>
      </c>
      <c r="C6" s="7" t="s">
        <v>396</v>
      </c>
      <c r="D6" s="7" t="s">
        <v>397</v>
      </c>
      <c r="E6" s="7" t="s">
        <v>398</v>
      </c>
    </row>
    <row r="7" spans="1:5" ht="24.75">
      <c r="A7" s="8" t="s">
        <v>399</v>
      </c>
      <c r="B7" s="8" t="s">
        <v>253</v>
      </c>
      <c r="C7" s="8" t="s">
        <v>277</v>
      </c>
      <c r="D7" s="8" t="s">
        <v>1329</v>
      </c>
      <c r="E7" s="8">
        <v>1</v>
      </c>
    </row>
    <row r="8" spans="1:5" ht="24.75">
      <c r="A8" s="8" t="s">
        <v>399</v>
      </c>
      <c r="B8" s="8" t="s">
        <v>253</v>
      </c>
      <c r="C8" s="8" t="s">
        <v>277</v>
      </c>
      <c r="D8" s="8" t="s">
        <v>1330</v>
      </c>
      <c r="E8" s="8">
        <v>1</v>
      </c>
    </row>
    <row r="9" spans="1:5" ht="24.75">
      <c r="A9" s="8" t="s">
        <v>399</v>
      </c>
      <c r="B9" s="8" t="s">
        <v>253</v>
      </c>
      <c r="C9" s="8" t="s">
        <v>277</v>
      </c>
      <c r="D9" s="8" t="s">
        <v>1331</v>
      </c>
      <c r="E9" s="8">
        <v>1</v>
      </c>
    </row>
    <row r="10" spans="1:5" ht="24.75">
      <c r="A10" s="8" t="s">
        <v>399</v>
      </c>
      <c r="B10" s="8" t="s">
        <v>253</v>
      </c>
      <c r="C10" s="8" t="s">
        <v>277</v>
      </c>
      <c r="D10" s="8" t="s">
        <v>1332</v>
      </c>
      <c r="E10" s="8">
        <v>1</v>
      </c>
    </row>
    <row r="11" spans="1:5" ht="24.75">
      <c r="A11" s="8" t="s">
        <v>399</v>
      </c>
      <c r="B11" s="8" t="s">
        <v>253</v>
      </c>
      <c r="C11" s="8" t="s">
        <v>277</v>
      </c>
      <c r="D11" s="8" t="s">
        <v>1333</v>
      </c>
      <c r="E11" s="8">
        <v>1</v>
      </c>
    </row>
    <row r="12" spans="1:5">
      <c r="A12" s="1" t="s">
        <v>246</v>
      </c>
      <c r="B12" s="1" t="s">
        <v>246</v>
      </c>
      <c r="C12" s="1">
        <f>SUBTOTAL(103,Elements13_3_341[Elemento])</f>
        <v>5</v>
      </c>
      <c r="D12" s="1" t="s">
        <v>246</v>
      </c>
      <c r="E12" s="1">
        <f>SUBTOTAL(109,Elements13_3_341[Totais:])</f>
        <v>5</v>
      </c>
    </row>
  </sheetData>
  <mergeCells count="3">
    <mergeCell ref="A1:E2"/>
    <mergeCell ref="A4:E4"/>
    <mergeCell ref="A5:E5"/>
  </mergeCells>
  <hyperlinks>
    <hyperlink ref="A1" location="'13.3.34'!A1" display="JOELHO 90 GRAUS, PVC, SERIE NORMAL, ESGOTO PREDIAL, DN 75 MM, JUNTA ELÁSTICA, FORNECIDO E INSTALADO EM RAMAL DE DESCARGA OU RAMAL DE ESGOTO SANITÁRIO. AF_08/2022" xr:uid="{00000000-0004-0000-6200-000000000000}"/>
    <hyperlink ref="B1" location="'13.3.34'!A1" display="JOELHO 90 GRAUS, PVC, SERIE NORMAL, ESGOTO PREDIAL, DN 75 MM, JUNTA ELÁSTICA, FORNECIDO E INSTALADO EM RAMAL DE DESCARGA OU RAMAL DE ESGOTO SANITÁRIO. AF_08/2022" xr:uid="{00000000-0004-0000-6200-000001000000}"/>
    <hyperlink ref="C1" location="'13.3.34'!A1" display="JOELHO 90 GRAUS, PVC, SERIE NORMAL, ESGOTO PREDIAL, DN 75 MM, JUNTA ELÁSTICA, FORNECIDO E INSTALADO EM RAMAL DE DESCARGA OU RAMAL DE ESGOTO SANITÁRIO. AF_08/2022" xr:uid="{00000000-0004-0000-6200-000002000000}"/>
    <hyperlink ref="D1" location="'13.3.34'!A1" display="JOELHO 90 GRAUS, PVC, SERIE NORMAL, ESGOTO PREDIAL, DN 75 MM, JUNTA ELÁSTICA, FORNECIDO E INSTALADO EM RAMAL DE DESCARGA OU RAMAL DE ESGOTO SANITÁRIO. AF_08/2022" xr:uid="{00000000-0004-0000-6200-000003000000}"/>
    <hyperlink ref="E1" location="'13.3.34'!A1" display="JOELHO 90 GRAUS, PVC, SERIE NORMAL, ESGOTO PREDIAL, DN 75 MM, JUNTA ELÁSTICA, FORNECIDO E INSTALADO EM RAMAL DE DESCARGA OU RAMAL DE ESGOTO SANITÁRIO. AF_08/2022" xr:uid="{00000000-0004-0000-6200-000004000000}"/>
    <hyperlink ref="A2" location="'13.3.34'!A1" display="JOELHO 90 GRAUS, PVC, SERIE NORMAL, ESGOTO PREDIAL, DN 75 MM, JUNTA ELÁSTICA, FORNECIDO E INSTALADO EM RAMAL DE DESCARGA OU RAMAL DE ESGOTO SANITÁRIO. AF_08/2022" xr:uid="{00000000-0004-0000-6200-000005000000}"/>
    <hyperlink ref="B2" location="'13.3.34'!A1" display="JOELHO 90 GRAUS, PVC, SERIE NORMAL, ESGOTO PREDIAL, DN 75 MM, JUNTA ELÁSTICA, FORNECIDO E INSTALADO EM RAMAL DE DESCARGA OU RAMAL DE ESGOTO SANITÁRIO. AF_08/2022" xr:uid="{00000000-0004-0000-6200-000006000000}"/>
    <hyperlink ref="C2" location="'13.3.34'!A1" display="JOELHO 90 GRAUS, PVC, SERIE NORMAL, ESGOTO PREDIAL, DN 75 MM, JUNTA ELÁSTICA, FORNECIDO E INSTALADO EM RAMAL DE DESCARGA OU RAMAL DE ESGOTO SANITÁRIO. AF_08/2022" xr:uid="{00000000-0004-0000-6200-000007000000}"/>
    <hyperlink ref="D2" location="'13.3.34'!A1" display="JOELHO 90 GRAUS, PVC, SERIE NORMAL, ESGOTO PREDIAL, DN 75 MM, JUNTA ELÁSTICA, FORNECIDO E INSTALADO EM RAMAL DE DESCARGA OU RAMAL DE ESGOTO SANITÁRIO. AF_08/2022" xr:uid="{00000000-0004-0000-6200-000008000000}"/>
    <hyperlink ref="E2" location="'13.3.34'!A1" display="JOELHO 90 GRAUS, PVC, SERIE NORMAL, ESGOTO PREDIAL, DN 75 MM, JUNTA ELÁSTICA, FORNECIDO E INSTALADO EM RAMAL DE DESCARGA OU RAMAL DE ESGOTO SANITÁRIO. AF_08/2022" xr:uid="{00000000-0004-0000-6200-000009000000}"/>
    <hyperlink ref="A4" location="'13.3.34'!A1" display="Conexões de tubo (Afastamento)" xr:uid="{00000000-0004-0000-6200-00000A000000}"/>
    <hyperlink ref="B4" location="'13.3.34'!A1" display="Conexões de tubo (Afastamento)" xr:uid="{00000000-0004-0000-6200-00000B000000}"/>
    <hyperlink ref="C4" location="'13.3.34'!A1" display="Conexões de tubo (Afastamento)" xr:uid="{00000000-0004-0000-6200-00000C000000}"/>
    <hyperlink ref="D4" location="'13.3.34'!A1" display="Conexões de tubo (Afastamento)" xr:uid="{00000000-0004-0000-6200-00000D000000}"/>
    <hyperlink ref="E4" location="'13.3.34'!A1" display="Conexões de tubo (Afastamento)" xr:uid="{00000000-0004-0000-6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128</vt:i4>
      </vt:variant>
    </vt:vector>
  </HeadingPairs>
  <TitlesOfParts>
    <vt:vector size="128" baseType="lpstr">
      <vt:lpstr>Orçamento</vt:lpstr>
      <vt:lpstr>13.3</vt:lpstr>
      <vt:lpstr>13.3.1</vt:lpstr>
      <vt:lpstr>13.3.2</vt:lpstr>
      <vt:lpstr>13.3.3</vt:lpstr>
      <vt:lpstr>13.3.4</vt:lpstr>
      <vt:lpstr>13.3.5</vt:lpstr>
      <vt:lpstr>13.3.6</vt:lpstr>
      <vt:lpstr>13.3.7</vt:lpstr>
      <vt:lpstr>13.3.8</vt:lpstr>
      <vt:lpstr>13.3.9</vt:lpstr>
      <vt:lpstr>13.3.10</vt:lpstr>
      <vt:lpstr>13.3.11</vt:lpstr>
      <vt:lpstr>13.3.12</vt:lpstr>
      <vt:lpstr>13.3.13</vt:lpstr>
      <vt:lpstr>13.3.14</vt:lpstr>
      <vt:lpstr>13.3.15</vt:lpstr>
      <vt:lpstr>13.3.16</vt:lpstr>
      <vt:lpstr>13.3.17</vt:lpstr>
      <vt:lpstr>13.3.18</vt:lpstr>
      <vt:lpstr>13.3.19</vt:lpstr>
      <vt:lpstr>13.3.20</vt:lpstr>
      <vt:lpstr>13.3.21</vt:lpstr>
      <vt:lpstr>13.3.22</vt:lpstr>
      <vt:lpstr>13.3.23</vt:lpstr>
      <vt:lpstr>13.3.24</vt:lpstr>
      <vt:lpstr>13.3.25</vt:lpstr>
      <vt:lpstr>13.3.26</vt:lpstr>
      <vt:lpstr>13.3.27</vt:lpstr>
      <vt:lpstr>13.3.28</vt:lpstr>
      <vt:lpstr>13.3.29</vt:lpstr>
      <vt:lpstr>13.3.30</vt:lpstr>
      <vt:lpstr>13.3.31</vt:lpstr>
      <vt:lpstr>13.3.32</vt:lpstr>
      <vt:lpstr>13.3.33</vt:lpstr>
      <vt:lpstr>13.3.34</vt:lpstr>
      <vt:lpstr>13.3.35</vt:lpstr>
      <vt:lpstr>13.3.36</vt:lpstr>
      <vt:lpstr>13.3.37</vt:lpstr>
      <vt:lpstr>13.3.38</vt:lpstr>
      <vt:lpstr>13.3.39</vt:lpstr>
      <vt:lpstr>13.3.40</vt:lpstr>
      <vt:lpstr>13.3.41</vt:lpstr>
      <vt:lpstr>13.3.42</vt:lpstr>
      <vt:lpstr>13.3.43</vt:lpstr>
      <vt:lpstr>13.3.44</vt:lpstr>
      <vt:lpstr>13.3.45</vt:lpstr>
      <vt:lpstr>13.3.46</vt:lpstr>
      <vt:lpstr>13.3.47</vt:lpstr>
      <vt:lpstr>13.3.48</vt:lpstr>
      <vt:lpstr>13.3.49</vt:lpstr>
      <vt:lpstr>13.3.50</vt:lpstr>
      <vt:lpstr>13.3.51</vt:lpstr>
      <vt:lpstr>13.3.52</vt:lpstr>
      <vt:lpstr>13.3.53</vt:lpstr>
      <vt:lpstr>13.3.54</vt:lpstr>
      <vt:lpstr>13.3.55</vt:lpstr>
      <vt:lpstr>13.3.56</vt:lpstr>
      <vt:lpstr>13.3.57</vt:lpstr>
      <vt:lpstr>13.3.58</vt:lpstr>
      <vt:lpstr>13.3.59</vt:lpstr>
      <vt:lpstr>13.3.60</vt:lpstr>
      <vt:lpstr>13.3.61</vt:lpstr>
      <vt:lpstr>13.3.62</vt:lpstr>
      <vt:lpstr>13.3.63</vt:lpstr>
      <vt:lpstr>13.3.1E</vt:lpstr>
      <vt:lpstr>13.3.2E</vt:lpstr>
      <vt:lpstr>13.3.3E</vt:lpstr>
      <vt:lpstr>13.3.4E</vt:lpstr>
      <vt:lpstr>13.3.5E</vt:lpstr>
      <vt:lpstr>13.3.6E</vt:lpstr>
      <vt:lpstr>13.3.7E</vt:lpstr>
      <vt:lpstr>13.3.8E</vt:lpstr>
      <vt:lpstr>13.3.9E</vt:lpstr>
      <vt:lpstr>13.3.10E</vt:lpstr>
      <vt:lpstr>13.3.11E</vt:lpstr>
      <vt:lpstr>13.3.12E</vt:lpstr>
      <vt:lpstr>13.3.13E</vt:lpstr>
      <vt:lpstr>13.3.14E</vt:lpstr>
      <vt:lpstr>13.3.15E</vt:lpstr>
      <vt:lpstr>13.3.16E</vt:lpstr>
      <vt:lpstr>13.3.17E</vt:lpstr>
      <vt:lpstr>13.3.18E</vt:lpstr>
      <vt:lpstr>13.3.19E</vt:lpstr>
      <vt:lpstr>13.3.20E</vt:lpstr>
      <vt:lpstr>13.3.21E</vt:lpstr>
      <vt:lpstr>13.3.22E</vt:lpstr>
      <vt:lpstr>13.3.23E</vt:lpstr>
      <vt:lpstr>13.3.24E</vt:lpstr>
      <vt:lpstr>13.3.25E</vt:lpstr>
      <vt:lpstr>13.3.26E</vt:lpstr>
      <vt:lpstr>13.3.27E</vt:lpstr>
      <vt:lpstr>13.3.28E</vt:lpstr>
      <vt:lpstr>13.3.29E</vt:lpstr>
      <vt:lpstr>13.3.30E</vt:lpstr>
      <vt:lpstr>13.3.31E</vt:lpstr>
      <vt:lpstr>13.3.32E</vt:lpstr>
      <vt:lpstr>13.3.33E</vt:lpstr>
      <vt:lpstr>13.3.34E</vt:lpstr>
      <vt:lpstr>13.3.35E</vt:lpstr>
      <vt:lpstr>13.3.36E</vt:lpstr>
      <vt:lpstr>13.3.37E</vt:lpstr>
      <vt:lpstr>13.3.38E</vt:lpstr>
      <vt:lpstr>13.3.39E</vt:lpstr>
      <vt:lpstr>13.3.40E</vt:lpstr>
      <vt:lpstr>13.3.41E</vt:lpstr>
      <vt:lpstr>13.3.42E</vt:lpstr>
      <vt:lpstr>13.3.43E</vt:lpstr>
      <vt:lpstr>13.3.44E</vt:lpstr>
      <vt:lpstr>13.3.45E</vt:lpstr>
      <vt:lpstr>13.3.46E</vt:lpstr>
      <vt:lpstr>13.3.47E</vt:lpstr>
      <vt:lpstr>13.3.48E</vt:lpstr>
      <vt:lpstr>13.3.49E</vt:lpstr>
      <vt:lpstr>13.3.50E</vt:lpstr>
      <vt:lpstr>13.3.51E</vt:lpstr>
      <vt:lpstr>13.3.52E</vt:lpstr>
      <vt:lpstr>13.3.53E</vt:lpstr>
      <vt:lpstr>13.3.54E</vt:lpstr>
      <vt:lpstr>13.3.55E</vt:lpstr>
      <vt:lpstr>13.3.56E</vt:lpstr>
      <vt:lpstr>13.3.57E</vt:lpstr>
      <vt:lpstr>13.3.58E</vt:lpstr>
      <vt:lpstr>13.3.59E</vt:lpstr>
      <vt:lpstr>13.3.60E</vt:lpstr>
      <vt:lpstr>13.3.61E</vt:lpstr>
      <vt:lpstr>13.3.62E</vt:lpstr>
      <vt:lpstr>13.3.63E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usuario</cp:lastModifiedBy>
  <dcterms:modified xsi:type="dcterms:W3CDTF">2025-06-18T16:07:24Z</dcterms:modified>
</cp:coreProperties>
</file>